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 A\Desktop\"/>
    </mc:Choice>
  </mc:AlternateContent>
  <bookViews>
    <workbookView xWindow="0" yWindow="0" windowWidth="12750" windowHeight="9330" activeTab="1"/>
  </bookViews>
  <sheets>
    <sheet name="SEP" sheetId="1" r:id="rId1"/>
    <sheet name="PTSEP" sheetId="2" r:id="rId2"/>
  </sheets>
  <definedNames>
    <definedName name="_xlnm.Print_Area" localSheetId="0">SEP!$A$1:$M$65</definedName>
    <definedName name="_xlnm.Print_Titles" localSheetId="0">SEP!$1:$12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2" l="1"/>
  <c r="Q61" i="2"/>
  <c r="P61" i="2"/>
  <c r="O61" i="2"/>
  <c r="N61" i="2"/>
  <c r="M61" i="2"/>
  <c r="K61" i="2"/>
  <c r="I61" i="2"/>
  <c r="G61" i="2"/>
  <c r="F61" i="2"/>
  <c r="E61" i="2"/>
  <c r="D61" i="2"/>
  <c r="C61" i="2"/>
  <c r="S60" i="2"/>
  <c r="S59" i="2"/>
  <c r="L59" i="2"/>
  <c r="S58" i="2"/>
  <c r="S57" i="2"/>
  <c r="S56" i="2"/>
  <c r="S55" i="2"/>
  <c r="S54" i="2"/>
  <c r="L53" i="2"/>
  <c r="S53" i="2" s="1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L35" i="2"/>
  <c r="L61" i="2" s="1"/>
  <c r="J35" i="2"/>
  <c r="J61" i="2" s="1"/>
  <c r="S34" i="2"/>
  <c r="S33" i="2"/>
  <c r="R31" i="2"/>
  <c r="Q31" i="2"/>
  <c r="P31" i="2"/>
  <c r="L31" i="2"/>
  <c r="K31" i="2"/>
  <c r="I31" i="2"/>
  <c r="E31" i="2"/>
  <c r="D31" i="2"/>
  <c r="S29" i="2"/>
  <c r="S28" i="2"/>
  <c r="F27" i="2"/>
  <c r="S27" i="2" s="1"/>
  <c r="S26" i="2"/>
  <c r="F25" i="2"/>
  <c r="S25" i="2" s="1"/>
  <c r="S24" i="2"/>
  <c r="C24" i="2"/>
  <c r="C31" i="2" s="1"/>
  <c r="S23" i="2"/>
  <c r="S22" i="2"/>
  <c r="S21" i="2"/>
  <c r="S20" i="2"/>
  <c r="G19" i="2"/>
  <c r="G31" i="2" s="1"/>
  <c r="F19" i="2"/>
  <c r="S19" i="2" s="1"/>
  <c r="S18" i="2"/>
  <c r="S17" i="2"/>
  <c r="S16" i="2"/>
  <c r="S15" i="2"/>
  <c r="S14" i="2"/>
  <c r="F13" i="2"/>
  <c r="F31" i="2" s="1"/>
  <c r="S12" i="2"/>
  <c r="I55" i="1"/>
  <c r="H49" i="1"/>
  <c r="O46" i="1"/>
  <c r="L46" i="1"/>
  <c r="K46" i="1"/>
  <c r="G46" i="1"/>
  <c r="Q46" i="1" s="1"/>
  <c r="R46" i="1" s="1"/>
  <c r="S46" i="1" s="1"/>
  <c r="L45" i="1"/>
  <c r="H45" i="1"/>
  <c r="E45" i="1"/>
  <c r="G45" i="1" s="1"/>
  <c r="C45" i="1"/>
  <c r="O44" i="1"/>
  <c r="L44" i="1"/>
  <c r="Q44" i="1" s="1"/>
  <c r="R44" i="1" s="1"/>
  <c r="S44" i="1" s="1"/>
  <c r="G44" i="1"/>
  <c r="N44" i="1" s="1"/>
  <c r="P44" i="1" s="1"/>
  <c r="O43" i="1"/>
  <c r="L43" i="1"/>
  <c r="I43" i="1"/>
  <c r="G43" i="1"/>
  <c r="Q43" i="1" s="1"/>
  <c r="R43" i="1" s="1"/>
  <c r="S43" i="1" s="1"/>
  <c r="E43" i="1"/>
  <c r="I42" i="1"/>
  <c r="O42" i="1" s="1"/>
  <c r="E42" i="1"/>
  <c r="G42" i="1" s="1"/>
  <c r="K41" i="1"/>
  <c r="I41" i="1"/>
  <c r="O41" i="1" s="1"/>
  <c r="E41" i="1"/>
  <c r="G41" i="1" s="1"/>
  <c r="B41" i="1"/>
  <c r="L40" i="1"/>
  <c r="K40" i="1"/>
  <c r="O40" i="1" s="1"/>
  <c r="I40" i="1"/>
  <c r="F40" i="1"/>
  <c r="E40" i="1"/>
  <c r="M40" i="1" s="1"/>
  <c r="O39" i="1"/>
  <c r="L39" i="1"/>
  <c r="Q39" i="1" s="1"/>
  <c r="R39" i="1" s="1"/>
  <c r="S39" i="1" s="1"/>
  <c r="G39" i="1"/>
  <c r="N39" i="1" s="1"/>
  <c r="P39" i="1" s="1"/>
  <c r="E39" i="1"/>
  <c r="R38" i="1"/>
  <c r="S38" i="1" s="1"/>
  <c r="Q38" i="1"/>
  <c r="O38" i="1"/>
  <c r="N38" i="1"/>
  <c r="P38" i="1" s="1"/>
  <c r="M38" i="1"/>
  <c r="L38" i="1"/>
  <c r="G38" i="1"/>
  <c r="F38" i="1"/>
  <c r="O37" i="1"/>
  <c r="M37" i="1"/>
  <c r="L37" i="1"/>
  <c r="G37" i="1"/>
  <c r="N37" i="1" s="1"/>
  <c r="P37" i="1" s="1"/>
  <c r="Q36" i="1"/>
  <c r="R36" i="1" s="1"/>
  <c r="S36" i="1" s="1"/>
  <c r="P36" i="1"/>
  <c r="O36" i="1"/>
  <c r="N36" i="1"/>
  <c r="M36" i="1"/>
  <c r="L36" i="1"/>
  <c r="G36" i="1"/>
  <c r="F36" i="1"/>
  <c r="O35" i="1"/>
  <c r="M35" i="1"/>
  <c r="L35" i="1"/>
  <c r="G35" i="1"/>
  <c r="N35" i="1" s="1"/>
  <c r="P35" i="1" s="1"/>
  <c r="O34" i="1"/>
  <c r="M34" i="1"/>
  <c r="L34" i="1"/>
  <c r="G34" i="1"/>
  <c r="N34" i="1" s="1"/>
  <c r="P34" i="1" s="1"/>
  <c r="F34" i="1"/>
  <c r="M33" i="1"/>
  <c r="K33" i="1"/>
  <c r="L33" i="1" s="1"/>
  <c r="G33" i="1"/>
  <c r="Q33" i="1" s="1"/>
  <c r="R33" i="1" s="1"/>
  <c r="S33" i="1" s="1"/>
  <c r="O32" i="1"/>
  <c r="M32" i="1"/>
  <c r="L32" i="1"/>
  <c r="G32" i="1"/>
  <c r="N32" i="1" s="1"/>
  <c r="P32" i="1" s="1"/>
  <c r="F32" i="1"/>
  <c r="R31" i="1"/>
  <c r="S31" i="1" s="1"/>
  <c r="Q31" i="1"/>
  <c r="O31" i="1"/>
  <c r="N31" i="1"/>
  <c r="P31" i="1" s="1"/>
  <c r="M31" i="1"/>
  <c r="L31" i="1"/>
  <c r="G31" i="1"/>
  <c r="O30" i="1"/>
  <c r="M30" i="1"/>
  <c r="L30" i="1"/>
  <c r="G30" i="1"/>
  <c r="N30" i="1" s="1"/>
  <c r="P30" i="1" s="1"/>
  <c r="F30" i="1"/>
  <c r="Q29" i="1"/>
  <c r="R29" i="1" s="1"/>
  <c r="S29" i="1" s="1"/>
  <c r="P29" i="1"/>
  <c r="O29" i="1"/>
  <c r="N29" i="1"/>
  <c r="M29" i="1"/>
  <c r="L29" i="1"/>
  <c r="G29" i="1"/>
  <c r="M28" i="1"/>
  <c r="K28" i="1"/>
  <c r="L28" i="1" s="1"/>
  <c r="G28" i="1"/>
  <c r="F28" i="1"/>
  <c r="L27" i="1"/>
  <c r="K27" i="1"/>
  <c r="J27" i="1"/>
  <c r="J48" i="1" s="1"/>
  <c r="I27" i="1"/>
  <c r="O27" i="1" s="1"/>
  <c r="G27" i="1"/>
  <c r="N27" i="1" s="1"/>
  <c r="F27" i="1"/>
  <c r="E27" i="1"/>
  <c r="B27" i="1"/>
  <c r="M26" i="1"/>
  <c r="K26" i="1"/>
  <c r="L26" i="1" s="1"/>
  <c r="G26" i="1"/>
  <c r="N26" i="1" s="1"/>
  <c r="F26" i="1"/>
  <c r="O25" i="1"/>
  <c r="L25" i="1"/>
  <c r="K25" i="1"/>
  <c r="E25" i="1"/>
  <c r="G25" i="1" s="1"/>
  <c r="M24" i="1"/>
  <c r="L24" i="1"/>
  <c r="Q24" i="1" s="1"/>
  <c r="R24" i="1" s="1"/>
  <c r="S24" i="1" s="1"/>
  <c r="K24" i="1"/>
  <c r="O24" i="1" s="1"/>
  <c r="G24" i="1"/>
  <c r="N24" i="1" s="1"/>
  <c r="P24" i="1" s="1"/>
  <c r="F24" i="1"/>
  <c r="K23" i="1"/>
  <c r="O23" i="1" s="1"/>
  <c r="I23" i="1"/>
  <c r="G23" i="1"/>
  <c r="N23" i="1" s="1"/>
  <c r="P23" i="1" s="1"/>
  <c r="B23" i="1"/>
  <c r="M23" i="1" s="1"/>
  <c r="K22" i="1"/>
  <c r="O22" i="1" s="1"/>
  <c r="I22" i="1"/>
  <c r="E22" i="1"/>
  <c r="M22" i="1" s="1"/>
  <c r="K21" i="1"/>
  <c r="L21" i="1" s="1"/>
  <c r="I21" i="1"/>
  <c r="O21" i="1" s="1"/>
  <c r="G21" i="1"/>
  <c r="N21" i="1" s="1"/>
  <c r="E21" i="1"/>
  <c r="B21" i="1"/>
  <c r="R20" i="1"/>
  <c r="S20" i="1" s="1"/>
  <c r="Q20" i="1"/>
  <c r="P20" i="1"/>
  <c r="O20" i="1"/>
  <c r="N20" i="1"/>
  <c r="R19" i="1"/>
  <c r="S19" i="1" s="1"/>
  <c r="Q19" i="1"/>
  <c r="O19" i="1"/>
  <c r="N19" i="1"/>
  <c r="P19" i="1" s="1"/>
  <c r="R18" i="1"/>
  <c r="S18" i="1" s="1"/>
  <c r="Q18" i="1"/>
  <c r="P18" i="1"/>
  <c r="O18" i="1"/>
  <c r="N18" i="1"/>
  <c r="F18" i="1"/>
  <c r="C18" i="1"/>
  <c r="B18" i="1"/>
  <c r="M18" i="1" s="1"/>
  <c r="R17" i="1"/>
  <c r="S17" i="1" s="1"/>
  <c r="Q17" i="1"/>
  <c r="O17" i="1"/>
  <c r="N17" i="1"/>
  <c r="P17" i="1" s="1"/>
  <c r="M17" i="1"/>
  <c r="F17" i="1"/>
  <c r="R16" i="1"/>
  <c r="S16" i="1" s="1"/>
  <c r="Q16" i="1"/>
  <c r="O16" i="1"/>
  <c r="N16" i="1"/>
  <c r="P16" i="1" s="1"/>
  <c r="F16" i="1"/>
  <c r="B16" i="1"/>
  <c r="M16" i="1" s="1"/>
  <c r="Q15" i="1"/>
  <c r="R15" i="1" s="1"/>
  <c r="O15" i="1"/>
  <c r="P15" i="1" s="1"/>
  <c r="N15" i="1"/>
  <c r="F15" i="1"/>
  <c r="B15" i="1"/>
  <c r="B14" i="1" s="1"/>
  <c r="B48" i="1" s="1"/>
  <c r="L14" i="1"/>
  <c r="K14" i="1"/>
  <c r="K48" i="1" s="1"/>
  <c r="I14" i="1"/>
  <c r="O14" i="1" s="1"/>
  <c r="H14" i="1"/>
  <c r="H48" i="1" s="1"/>
  <c r="E14" i="1"/>
  <c r="F14" i="1" s="1"/>
  <c r="D14" i="1"/>
  <c r="D48" i="1" s="1"/>
  <c r="C14" i="1"/>
  <c r="C48" i="1" s="1"/>
  <c r="R14" i="1" l="1"/>
  <c r="S15" i="1"/>
  <c r="S14" i="1" s="1"/>
  <c r="P21" i="1"/>
  <c r="P26" i="1"/>
  <c r="Q28" i="1"/>
  <c r="R28" i="1" s="1"/>
  <c r="S28" i="1" s="1"/>
  <c r="N42" i="1"/>
  <c r="P42" i="1" s="1"/>
  <c r="S31" i="2"/>
  <c r="Q25" i="1"/>
  <c r="R25" i="1" s="1"/>
  <c r="S25" i="1" s="1"/>
  <c r="N25" i="1"/>
  <c r="P25" i="1" s="1"/>
  <c r="O48" i="1"/>
  <c r="N41" i="1"/>
  <c r="P41" i="1" s="1"/>
  <c r="P27" i="1"/>
  <c r="Q27" i="1"/>
  <c r="R27" i="1" s="1"/>
  <c r="S27" i="1" s="1"/>
  <c r="N28" i="1"/>
  <c r="N33" i="1"/>
  <c r="L42" i="1"/>
  <c r="Q42" i="1" s="1"/>
  <c r="R42" i="1" s="1"/>
  <c r="S42" i="1" s="1"/>
  <c r="N43" i="1"/>
  <c r="P43" i="1" s="1"/>
  <c r="F45" i="1"/>
  <c r="M45" i="1"/>
  <c r="N46" i="1"/>
  <c r="P46" i="1" s="1"/>
  <c r="I48" i="1"/>
  <c r="S35" i="2"/>
  <c r="S61" i="2" s="1"/>
  <c r="O26" i="1"/>
  <c r="M14" i="1"/>
  <c r="Q21" i="1"/>
  <c r="R21" i="1" s="1"/>
  <c r="S21" i="1" s="1"/>
  <c r="F22" i="1"/>
  <c r="L22" i="1"/>
  <c r="L48" i="1" s="1"/>
  <c r="L23" i="1"/>
  <c r="Q23" i="1" s="1"/>
  <c r="R23" i="1" s="1"/>
  <c r="S23" i="1" s="1"/>
  <c r="O28" i="1"/>
  <c r="Q32" i="1"/>
  <c r="R32" i="1" s="1"/>
  <c r="S32" i="1" s="1"/>
  <c r="O33" i="1"/>
  <c r="Q34" i="1"/>
  <c r="R34" i="1" s="1"/>
  <c r="S34" i="1" s="1"/>
  <c r="Q37" i="1"/>
  <c r="R37" i="1" s="1"/>
  <c r="S37" i="1" s="1"/>
  <c r="G40" i="1"/>
  <c r="L41" i="1"/>
  <c r="Q41" i="1" s="1"/>
  <c r="R41" i="1" s="1"/>
  <c r="S41" i="1" s="1"/>
  <c r="F42" i="1"/>
  <c r="M42" i="1"/>
  <c r="E48" i="1"/>
  <c r="G14" i="1"/>
  <c r="G22" i="1"/>
  <c r="Q26" i="1"/>
  <c r="R26" i="1" s="1"/>
  <c r="S26" i="1" s="1"/>
  <c r="Q30" i="1"/>
  <c r="R30" i="1" s="1"/>
  <c r="S30" i="1" s="1"/>
  <c r="Q35" i="1"/>
  <c r="R35" i="1" s="1"/>
  <c r="S35" i="1" s="1"/>
  <c r="S13" i="2"/>
  <c r="M15" i="1"/>
  <c r="G48" i="1" l="1"/>
  <c r="N14" i="1"/>
  <c r="Q14" i="1"/>
  <c r="P33" i="1"/>
  <c r="N22" i="1"/>
  <c r="P22" i="1" s="1"/>
  <c r="Q22" i="1"/>
  <c r="R22" i="1" s="1"/>
  <c r="S22" i="1" s="1"/>
  <c r="N40" i="1"/>
  <c r="P40" i="1" s="1"/>
  <c r="Q40" i="1"/>
  <c r="R40" i="1" s="1"/>
  <c r="S40" i="1" s="1"/>
  <c r="S48" i="1" s="1"/>
  <c r="P28" i="1"/>
  <c r="R48" i="1" l="1"/>
  <c r="Q48" i="1"/>
  <c r="S13" i="1"/>
  <c r="P14" i="1"/>
  <c r="P48" i="1" s="1"/>
  <c r="N48" i="1"/>
</calcChain>
</file>

<file path=xl/sharedStrings.xml><?xml version="1.0" encoding="utf-8"?>
<sst xmlns="http://schemas.openxmlformats.org/spreadsheetml/2006/main" count="183" uniqueCount="159">
  <si>
    <t>MUNICIPIO DE: ACTOPAN, HGO.</t>
  </si>
  <si>
    <t>AL 30 DE SEPTIEMBRE DEL 2020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</si>
  <si>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</si>
  <si>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</si>
  <si>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</si>
  <si>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</si>
  <si>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</si>
  <si>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</si>
  <si>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</si>
  <si>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</si>
  <si>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</si>
  <si>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</si>
  <si>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</si>
  <si>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</si>
  <si>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</si>
  <si>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>° DEUDORAS DE ACTIVO (INVERSION)
(B)</t>
  </si>
  <si>
    <t xml:space="preserve">° ACREEDORAS DE PASIVO
( C ) </t>
  </si>
  <si>
    <t>DIFERENCIA
A+B-C = D</t>
  </si>
  <si>
    <t>AVANCE %</t>
  </si>
  <si>
    <t xml:space="preserve">FIN. </t>
  </si>
  <si>
    <t>ING. PROPIOS 2020</t>
  </si>
  <si>
    <t>Impuestos</t>
  </si>
  <si>
    <t>Derechos</t>
  </si>
  <si>
    <t>Aprovechamientos</t>
  </si>
  <si>
    <t>Productos</t>
  </si>
  <si>
    <t>Ingresos por Ventas</t>
  </si>
  <si>
    <t xml:space="preserve">otros </t>
  </si>
  <si>
    <t>ING. PROPIOS 2019</t>
  </si>
  <si>
    <t xml:space="preserve">Fondo General de Participaciones 2020  </t>
  </si>
  <si>
    <t>Fondo General de Participaciones 2019</t>
  </si>
  <si>
    <t>Fondo de Fomento Municipal 2020</t>
  </si>
  <si>
    <t>Fondo de Fomento Municipal 2019</t>
  </si>
  <si>
    <t>ISR Enterado 2020</t>
  </si>
  <si>
    <t>ISR Enterado 2019</t>
  </si>
  <si>
    <t>Fondo de Fiscalización y Recaudación 2020</t>
  </si>
  <si>
    <t>Fondo de Fiscalización y Recaudación 2019</t>
  </si>
  <si>
    <t>Incentivo a la Venta Final de Gasolina 2020</t>
  </si>
  <si>
    <t>Incentivo a la Venta Final de Gasolina 2019</t>
  </si>
  <si>
    <t>Impuesto Esp. Sobre Prod. Y Serv. (TABACOS) 2020</t>
  </si>
  <si>
    <t>Impuesto Esp. Sobre Prod. Y Serv. (TABACOS) 2019</t>
  </si>
  <si>
    <t>Impuesto Sobre Automoviles Nuevos 2020</t>
  </si>
  <si>
    <t>Impuesto Sobre Automoviles Nuevos 2019</t>
  </si>
  <si>
    <t>Compensación de Impuesto Sobre Automoviles Nuevos 2020</t>
  </si>
  <si>
    <t>Compensación de Impuesto Sobre Automoviles Nuevos 2019</t>
  </si>
  <si>
    <t>FEIEF 2020</t>
  </si>
  <si>
    <t>FEIEF 2019</t>
  </si>
  <si>
    <t>FORTAMUN-DF 2020</t>
  </si>
  <si>
    <t>FORTAMUN-DF 2019</t>
  </si>
  <si>
    <t>F.I.S.M. 2020</t>
  </si>
  <si>
    <t>F.I.S.M. 2019</t>
  </si>
  <si>
    <t>PRODDER 2020</t>
  </si>
  <si>
    <t>FORTASEG 2020</t>
  </si>
  <si>
    <t>Impuestos 2020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</si>
  <si>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</si>
  <si>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</si>
  <si>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</si>
  <si>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</si>
  <si>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</si>
  <si>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</si>
  <si>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</si>
  <si>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</si>
  <si>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</si>
  <si>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ELABORÓ:</t>
  </si>
  <si>
    <t>REVISÓ Y AUTORIZÓ:</t>
  </si>
  <si>
    <t>REVISÓ:</t>
  </si>
  <si>
    <t>L.C. GILBERTO SANTILLAN ROA</t>
  </si>
  <si>
    <t>L.C. HEBER SANCHEZ SANTILLAN</t>
  </si>
  <si>
    <t>DR. VICTOR PEREZ GUTIERREZ</t>
  </si>
  <si>
    <t>TESORERO MUNICIPAL</t>
  </si>
  <si>
    <t>PRESIDENTE DEL CONCEJO MUNICIPAL INTERINO</t>
  </si>
  <si>
    <t>VOCAL EJECUTIVO</t>
  </si>
  <si>
    <t>Formato : FR-01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</si>
  <si>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</si>
  <si>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</si>
  <si>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</si>
  <si>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</si>
  <si>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</si>
  <si>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</si>
  <si>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</si>
  <si>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</si>
  <si>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</si>
  <si>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</si>
  <si>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</si>
  <si>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</si>
  <si>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</si>
  <si>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</si>
  <si>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</si>
  <si>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</si>
  <si>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</si>
  <si>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</si>
  <si>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</si>
  <si>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</si>
  <si>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</si>
  <si>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</si>
  <si>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</si>
  <si>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</si>
  <si>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</si>
  <si>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</si>
  <si>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</si>
  <si>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</si>
  <si>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</si>
  <si>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</si>
  <si>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</si>
  <si>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</si>
  <si>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</si>
  <si>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</si>
  <si>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ACUMULADO:</t>
  </si>
  <si>
    <t>Importe total ejercido al mes que se reporta.</t>
  </si>
  <si>
    <t>Porcentaje reflejado entre lo presupuestado y lo acumulado, y se calcula dividiendo el acumulado entre el presupuesto</t>
  </si>
  <si>
    <t>MUNICIPIO DE ACTOPAN</t>
  </si>
  <si>
    <t>HOJA DE TRABAJO  CUADRO RESUMEN DE LA SITUACION FINANCIERA</t>
  </si>
  <si>
    <t>INTEGRACION CUENTAS AL 30 DE SEPTIEMBRE DEL 2020</t>
  </si>
  <si>
    <t>NOMBRE DE LA CUENTA</t>
  </si>
  <si>
    <t>FONDO</t>
  </si>
  <si>
    <t>DEUDORES DIVERSOS POR COBRAR A CORTO PLAZO</t>
  </si>
  <si>
    <t>DEUDORES POR ANTICIPOS DE LA TESORERIA A CORTO PLAZO</t>
  </si>
  <si>
    <t>ANTICIPO A CONTRATISTAS OBRAS PUBLICAS A CORTO PLAZO</t>
  </si>
  <si>
    <t>CONSTRUCCIONES EN PROCESO EN BIENES DE DOMINIO PUBLICO</t>
  </si>
  <si>
    <t>INVERSION</t>
  </si>
  <si>
    <t>SUELDOS POR PAGAR</t>
  </si>
  <si>
    <t>PROVEEDORES POR PAGAR A CORTO PLAZO</t>
  </si>
  <si>
    <t>CONTRATISTAS POR OBRAS PUBLICAS POR PAGAR A CORTO PLAZO</t>
  </si>
  <si>
    <t>TRANSFERENCIAS OTORGADAS POR PAGAR A CORTO PLAZO</t>
  </si>
  <si>
    <t>ISR SALARIOS</t>
  </si>
  <si>
    <t>ISR ARRENDAMIENTO</t>
  </si>
  <si>
    <t>ISR HONORARIOS</t>
  </si>
  <si>
    <t>RETENCIONES DE OBRA</t>
  </si>
  <si>
    <t>OTRAS CUENTAS POR PAGARA A CORTO PLAZO</t>
  </si>
  <si>
    <t>RESULTADO DE EJERCICIOS ANTERIORES 2019</t>
  </si>
  <si>
    <t>AJUSTES DE RESULTADO 2019</t>
  </si>
  <si>
    <t>TOTALES</t>
  </si>
  <si>
    <t xml:space="preserve">   REPO 2020</t>
  </si>
  <si>
    <t xml:space="preserve">   REPO 2019</t>
  </si>
  <si>
    <t xml:space="preserve">   FONDO GRAL PARTIC 2020</t>
  </si>
  <si>
    <t xml:space="preserve">   FONDO GRAL PARTIC 2019</t>
  </si>
  <si>
    <t xml:space="preserve">   FONDO DE FOM MPAL 2020</t>
  </si>
  <si>
    <t xml:space="preserve">   FONDO DE FOM MPAL 2019</t>
  </si>
  <si>
    <t xml:space="preserve">   ISR ENTERADO 2020</t>
  </si>
  <si>
    <t xml:space="preserve">   ISR ENTERADO 2019</t>
  </si>
  <si>
    <t xml:space="preserve">   FISCALIZACION 2020</t>
  </si>
  <si>
    <t xml:space="preserve">   FISCALIZACION 2019</t>
  </si>
  <si>
    <t xml:space="preserve">   FEIEF 2020</t>
  </si>
  <si>
    <t xml:space="preserve">   FEIEF 2019</t>
  </si>
  <si>
    <t xml:space="preserve">   FORTAMUN 2020</t>
  </si>
  <si>
    <t xml:space="preserve">   FORTAMUN 2019</t>
  </si>
  <si>
    <t xml:space="preserve">   FAISM 2020</t>
  </si>
  <si>
    <t xml:space="preserve">   FAISM 2019</t>
  </si>
  <si>
    <t xml:space="preserve">   FORTASEG 2020</t>
  </si>
  <si>
    <t xml:space="preserve">   IMPUESTOS 2020</t>
  </si>
  <si>
    <t>TOTAL</t>
  </si>
  <si>
    <t xml:space="preserve">   IVF DE GASOLINA 2020</t>
  </si>
  <si>
    <t xml:space="preserve">   IVF DE GASOLINA 2019</t>
  </si>
  <si>
    <t xml:space="preserve">   IEPS TABACOS 2020</t>
  </si>
  <si>
    <t xml:space="preserve">   IEPS TABACOS 2019</t>
  </si>
  <si>
    <t xml:space="preserve">   ISAN 2020</t>
  </si>
  <si>
    <t xml:space="preserve">   ISAN 2019</t>
  </si>
  <si>
    <t xml:space="preserve">   CISAN 2020</t>
  </si>
  <si>
    <t xml:space="preserve">   CISAN 2019</t>
  </si>
  <si>
    <t xml:space="preserve">   PRODDER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</si>
</sst>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;[Red]#,##0.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6" fillId="2" borderId="0" xfId="0" applyFont="1" applyFill="1"/>
    <xf numFmtId="0" fontId="2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4" fontId="2" fillId="2" borderId="0" xfId="0" applyNumberFormat="1" applyFont="1" applyFill="1"/>
    <xf numFmtId="164" fontId="2" fillId="2" borderId="0" xfId="0" applyNumberFormat="1" applyFont="1" applyFill="1"/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5" fontId="2" fillId="0" borderId="0" xfId="0" applyNumberFormat="1" applyFont="1" applyFill="1"/>
    <xf numFmtId="43" fontId="2" fillId="2" borderId="0" xfId="0" applyNumberFormat="1" applyFont="1" applyFill="1"/>
    <xf numFmtId="0" fontId="6" fillId="0" borderId="4" xfId="2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5" fontId="2" fillId="0" borderId="2" xfId="2" applyNumberFormat="1" applyFont="1" applyBorder="1"/>
    <xf numFmtId="0" fontId="6" fillId="0" borderId="2" xfId="2" applyFont="1" applyFill="1" applyBorder="1" applyAlignment="1">
      <alignment horizontal="center" vertical="center"/>
    </xf>
    <xf numFmtId="43" fontId="7" fillId="0" borderId="0" xfId="2" applyNumberFormat="1" applyFont="1"/>
    <xf numFmtId="164" fontId="7" fillId="0" borderId="0" xfId="2" applyNumberFormat="1" applyFont="1"/>
    <xf numFmtId="164" fontId="7" fillId="0" borderId="0" xfId="1" applyFont="1"/>
    <xf numFmtId="164" fontId="2" fillId="2" borderId="0" xfId="1" applyFont="1" applyFill="1"/>
    <xf numFmtId="43" fontId="2" fillId="2" borderId="0" xfId="2" applyNumberFormat="1" applyFont="1" applyFill="1"/>
    <xf numFmtId="4" fontId="2" fillId="0" borderId="0" xfId="0" applyNumberFormat="1" applyFont="1" applyFill="1"/>
    <xf numFmtId="0" fontId="2" fillId="2" borderId="0" xfId="2" applyFont="1" applyFill="1"/>
    <xf numFmtId="0" fontId="6" fillId="5" borderId="2" xfId="2" applyFont="1" applyFill="1" applyBorder="1" applyAlignment="1">
      <alignment horizontal="left" vertical="center" wrapText="1"/>
    </xf>
    <xf numFmtId="4" fontId="6" fillId="2" borderId="2" xfId="2" applyNumberFormat="1" applyFont="1" applyFill="1" applyBorder="1"/>
    <xf numFmtId="9" fontId="6" fillId="2" borderId="2" xfId="2" applyNumberFormat="1" applyFont="1" applyFill="1" applyBorder="1"/>
    <xf numFmtId="165" fontId="6" fillId="2" borderId="2" xfId="2" applyNumberFormat="1" applyFont="1" applyFill="1" applyBorder="1"/>
    <xf numFmtId="164" fontId="8" fillId="0" borderId="2" xfId="1" applyFont="1" applyFill="1" applyBorder="1" applyAlignment="1">
      <alignment horizontal="right"/>
    </xf>
    <xf numFmtId="165" fontId="8" fillId="2" borderId="2" xfId="2" applyNumberFormat="1" applyFont="1" applyFill="1" applyBorder="1"/>
    <xf numFmtId="164" fontId="8" fillId="2" borderId="2" xfId="1" applyFont="1" applyFill="1" applyBorder="1" applyAlignment="1">
      <alignment horizontal="right"/>
    </xf>
    <xf numFmtId="9" fontId="2" fillId="2" borderId="2" xfId="2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4" fontId="2" fillId="2" borderId="2" xfId="2" applyNumberFormat="1" applyFont="1" applyFill="1" applyBorder="1"/>
    <xf numFmtId="165" fontId="2" fillId="2" borderId="2" xfId="2" applyNumberFormat="1" applyFont="1" applyFill="1" applyBorder="1"/>
    <xf numFmtId="165" fontId="9" fillId="2" borderId="2" xfId="2" applyNumberFormat="1" applyFont="1" applyFill="1" applyBorder="1"/>
    <xf numFmtId="0" fontId="2" fillId="0" borderId="0" xfId="0" applyFont="1" applyFill="1"/>
    <xf numFmtId="4" fontId="2" fillId="4" borderId="2" xfId="2" applyNumberFormat="1" applyFont="1" applyFill="1" applyBorder="1"/>
    <xf numFmtId="0" fontId="6" fillId="0" borderId="2" xfId="2" applyFont="1" applyFill="1" applyBorder="1" applyAlignment="1">
      <alignment horizontal="left" vertical="center" wrapText="1"/>
    </xf>
    <xf numFmtId="165" fontId="9" fillId="0" borderId="2" xfId="2" applyNumberFormat="1" applyFont="1" applyFill="1" applyBorder="1"/>
    <xf numFmtId="164" fontId="9" fillId="2" borderId="2" xfId="1" applyFont="1" applyFill="1" applyBorder="1" applyAlignment="1">
      <alignment horizontal="right"/>
    </xf>
    <xf numFmtId="4" fontId="2" fillId="2" borderId="2" xfId="2" applyNumberFormat="1" applyFont="1" applyFill="1" applyBorder="1" applyAlignment="1"/>
    <xf numFmtId="4" fontId="2" fillId="0" borderId="2" xfId="2" applyNumberFormat="1" applyFont="1" applyFill="1" applyBorder="1"/>
    <xf numFmtId="164" fontId="9" fillId="0" borderId="2" xfId="1" applyFont="1" applyBorder="1" applyAlignment="1">
      <alignment horizontal="right"/>
    </xf>
    <xf numFmtId="164" fontId="9" fillId="0" borderId="2" xfId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43" fontId="2" fillId="0" borderId="0" xfId="0" applyNumberFormat="1" applyFont="1" applyFill="1"/>
    <xf numFmtId="9" fontId="2" fillId="0" borderId="2" xfId="3" applyFont="1" applyBorder="1"/>
    <xf numFmtId="0" fontId="6" fillId="2" borderId="2" xfId="2" applyFont="1" applyFill="1" applyBorder="1" applyAlignment="1">
      <alignment horizontal="left" vertical="center" wrapText="1"/>
    </xf>
    <xf numFmtId="4" fontId="10" fillId="0" borderId="2" xfId="2" applyNumberFormat="1" applyFont="1" applyFill="1" applyBorder="1"/>
    <xf numFmtId="4" fontId="2" fillId="2" borderId="2" xfId="0" applyNumberFormat="1" applyFont="1" applyFill="1" applyBorder="1"/>
    <xf numFmtId="164" fontId="2" fillId="0" borderId="2" xfId="1" applyFont="1" applyBorder="1" applyAlignment="1">
      <alignment horizontal="right"/>
    </xf>
    <xf numFmtId="165" fontId="2" fillId="2" borderId="2" xfId="0" applyNumberFormat="1" applyFont="1" applyFill="1" applyBorder="1"/>
    <xf numFmtId="43" fontId="7" fillId="0" borderId="0" xfId="0" applyNumberFormat="1" applyFont="1"/>
    <xf numFmtId="164" fontId="7" fillId="0" borderId="0" xfId="0" applyNumberFormat="1" applyFont="1"/>
    <xf numFmtId="0" fontId="6" fillId="2" borderId="2" xfId="0" applyFont="1" applyFill="1" applyBorder="1" applyAlignment="1">
      <alignment horizontal="right" wrapText="1"/>
    </xf>
    <xf numFmtId="4" fontId="6" fillId="2" borderId="2" xfId="0" applyNumberFormat="1" applyFont="1" applyFill="1" applyBorder="1"/>
    <xf numFmtId="0" fontId="6" fillId="2" borderId="2" xfId="0" applyFont="1" applyFill="1" applyBorder="1"/>
    <xf numFmtId="4" fontId="11" fillId="2" borderId="2" xfId="0" applyNumberFormat="1" applyFont="1" applyFill="1" applyBorder="1"/>
    <xf numFmtId="4" fontId="12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6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/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4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6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0" fontId="2" fillId="6" borderId="0" xfId="0" applyFont="1" applyFill="1" applyAlignment="1">
      <alignment horizontal="center"/>
    </xf>
    <xf numFmtId="0" fontId="14" fillId="2" borderId="0" xfId="0" applyFont="1" applyFill="1"/>
    <xf numFmtId="0" fontId="6" fillId="2" borderId="0" xfId="0" applyFont="1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justify" vertical="justify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justify" vertical="justify" wrapText="1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3" fillId="0" borderId="0" xfId="0" applyFont="1" applyFill="1" applyAlignment="1">
      <alignment vertical="top" wrapText="1"/>
    </xf>
    <xf numFmtId="0" fontId="5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0" xfId="0" applyFont="1"/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1" xfId="0" applyFont="1" applyBorder="1"/>
    <xf numFmtId="0" fontId="16" fillId="0" borderId="0" xfId="0" applyFont="1" applyBorder="1"/>
    <xf numFmtId="0" fontId="16" fillId="0" borderId="12" xfId="0" applyFont="1" applyBorder="1"/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12" xfId="0" applyFont="1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20" xfId="0" applyFont="1" applyBorder="1"/>
    <xf numFmtId="164" fontId="16" fillId="0" borderId="21" xfId="1" applyFont="1" applyBorder="1"/>
    <xf numFmtId="164" fontId="16" fillId="0" borderId="22" xfId="1" applyFont="1" applyBorder="1"/>
    <xf numFmtId="164" fontId="17" fillId="7" borderId="23" xfId="1" applyFont="1" applyFill="1" applyBorder="1"/>
    <xf numFmtId="0" fontId="16" fillId="0" borderId="24" xfId="0" applyFont="1" applyBorder="1"/>
    <xf numFmtId="165" fontId="18" fillId="2" borderId="2" xfId="2" applyNumberFormat="1" applyFont="1" applyFill="1" applyBorder="1"/>
    <xf numFmtId="164" fontId="16" fillId="0" borderId="2" xfId="1" applyFont="1" applyBorder="1"/>
    <xf numFmtId="164" fontId="16" fillId="0" borderId="5" xfId="1" applyFont="1" applyBorder="1"/>
    <xf numFmtId="164" fontId="17" fillId="7" borderId="25" xfId="1" applyFont="1" applyFill="1" applyBorder="1"/>
    <xf numFmtId="164" fontId="16" fillId="0" borderId="3" xfId="1" applyFont="1" applyBorder="1"/>
    <xf numFmtId="165" fontId="18" fillId="2" borderId="3" xfId="2" applyNumberFormat="1" applyFont="1" applyFill="1" applyBorder="1"/>
    <xf numFmtId="164" fontId="16" fillId="0" borderId="26" xfId="1" applyFont="1" applyBorder="1"/>
    <xf numFmtId="43" fontId="16" fillId="0" borderId="0" xfId="0" applyNumberFormat="1" applyFont="1"/>
    <xf numFmtId="165" fontId="19" fillId="2" borderId="2" xfId="2" applyNumberFormat="1" applyFont="1" applyFill="1" applyBorder="1"/>
    <xf numFmtId="0" fontId="16" fillId="0" borderId="27" xfId="0" applyFont="1" applyBorder="1"/>
    <xf numFmtId="164" fontId="16" fillId="0" borderId="28" xfId="1" applyFont="1" applyBorder="1"/>
    <xf numFmtId="164" fontId="16" fillId="0" borderId="29" xfId="1" applyFont="1" applyBorder="1"/>
    <xf numFmtId="164" fontId="17" fillId="7" borderId="30" xfId="1" applyFont="1" applyFill="1" applyBorder="1"/>
    <xf numFmtId="0" fontId="17" fillId="7" borderId="31" xfId="0" applyFont="1" applyFill="1" applyBorder="1" applyAlignment="1">
      <alignment horizontal="right"/>
    </xf>
    <xf numFmtId="164" fontId="17" fillId="7" borderId="32" xfId="1" applyFont="1" applyFill="1" applyBorder="1"/>
    <xf numFmtId="164" fontId="17" fillId="7" borderId="33" xfId="1" applyFont="1" applyFill="1" applyBorder="1"/>
    <xf numFmtId="164" fontId="17" fillId="8" borderId="19" xfId="1" applyFont="1" applyFill="1" applyBorder="1"/>
    <xf numFmtId="4" fontId="16" fillId="0" borderId="0" xfId="0" applyNumberFormat="1" applyFont="1"/>
    <xf numFmtId="0" fontId="17" fillId="0" borderId="0" xfId="0" applyFont="1"/>
    <xf numFmtId="0" fontId="16" fillId="0" borderId="34" xfId="0" applyFont="1" applyBorder="1"/>
    <xf numFmtId="164" fontId="16" fillId="0" borderId="4" xfId="1" applyFont="1" applyBorder="1"/>
    <xf numFmtId="165" fontId="19" fillId="2" borderId="3" xfId="2" applyNumberFormat="1" applyFont="1" applyFill="1" applyBorder="1"/>
    <xf numFmtId="164" fontId="17" fillId="7" borderId="35" xfId="1" applyFont="1" applyFill="1" applyBorder="1"/>
    <xf numFmtId="0" fontId="16" fillId="0" borderId="36" xfId="0" applyFont="1" applyBorder="1"/>
    <xf numFmtId="164" fontId="17" fillId="0" borderId="35" xfId="1" applyFont="1" applyBorder="1"/>
    <xf numFmtId="164" fontId="0" fillId="0" borderId="0" xfId="1" applyFont="1"/>
    <xf numFmtId="164" fontId="0" fillId="0" borderId="0" xfId="0" applyNumberFormat="1"/>
  </cellXfs>
  <cellStyles count="4">
    <cellStyle name="Millares" xfId="1" builtinId="3"/>
    <cellStyle name="Normal" xfId="0" builtinId="0"/>
    <cellStyle name="Normal 10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104775</xdr:rowOff>
    </xdr:to>
    <xdr:sp macro="" textlink="">
      <xdr:nvSpPr>
        <xdr:cNvPr id="2" name="1 Rectángulo redondeado"/>
        <xdr:cNvSpPr/>
      </xdr:nvSpPr>
      <xdr:spPr>
        <a:xfrm>
          <a:off x="12992100" y="514350"/>
          <a:ext cx="10572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MR-04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104775</xdr:rowOff>
    </xdr:to>
    <xdr:sp macro="" textlink="">
      <xdr:nvSpPr>
        <xdr:cNvPr id="3" name="3 Rectángulo redondeado"/>
        <xdr:cNvSpPr/>
      </xdr:nvSpPr>
      <xdr:spPr>
        <a:xfrm>
          <a:off x="12992100" y="514350"/>
          <a:ext cx="10572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2021158</xdr:colOff>
      <xdr:row>4</xdr:row>
      <xdr:rowOff>151006</xdr:rowOff>
    </xdr:to>
    <xdr:pic>
      <xdr:nvPicPr>
        <xdr:cNvPr id="4" name="Imagen 3" descr="LOGO CONCEJO MUNICIPAL ACTOPAN_Mesa de trabajo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1158" cy="8368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="82" zoomScaleNormal="82" zoomScaleSheetLayoutView="100" workbookViewId="0">
      <selection activeCell="C42" sqref="C42"/>
    </sheetView>
  </sheetViews>
  <sheetFormatPr baseColWidth="10" defaultRowHeight="12.75" x14ac:dyDescent="0.2"/>
  <cols>
    <col min="1" max="1" width="60" style="8" customWidth="1"/>
    <col min="2" max="2" width="17.28515625" style="1" customWidth="1"/>
    <col min="3" max="3" width="16.42578125" style="1" customWidth="1"/>
    <col min="4" max="4" width="14.7109375" style="1" customWidth="1"/>
    <col min="5" max="5" width="14.5703125" style="1" customWidth="1"/>
    <col min="6" max="6" width="6" style="1" customWidth="1"/>
    <col min="7" max="7" width="14.28515625" style="1" customWidth="1"/>
    <col min="8" max="8" width="15.140625" style="1" customWidth="1"/>
    <col min="9" max="9" width="15.28515625" style="1" customWidth="1"/>
    <col min="10" max="10" width="13.7109375" style="1" customWidth="1"/>
    <col min="11" max="11" width="15.5703125" style="1" customWidth="1"/>
    <col min="12" max="12" width="17.42578125" style="1" customWidth="1"/>
    <col min="13" max="13" width="8.28515625" style="1" customWidth="1"/>
    <col min="14" max="14" width="14.28515625" style="1" hidden="1" customWidth="1"/>
    <col min="15" max="15" width="14.140625" style="1" hidden="1" customWidth="1"/>
    <col min="16" max="16" width="14.5703125" style="1" hidden="1" customWidth="1"/>
    <col min="17" max="17" width="13.42578125" style="1" hidden="1" customWidth="1"/>
    <col min="18" max="18" width="15.28515625" style="1" hidden="1" customWidth="1"/>
    <col min="19" max="19" width="13" style="1" hidden="1" customWidth="1"/>
    <col min="20" max="20" width="11.42578125" style="1" customWidth="1"/>
    <col min="21" max="16384" width="11.42578125" style="1"/>
  </cols>
  <sheetData>
    <row r="1" spans="1:21" x14ac:dyDescent="0.2">
      <c r="A1"/>
    </row>
    <row r="4" spans="1:21" ht="15.75" customHeight="1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1" ht="15.75" customHeight="1" thickBo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1" ht="15.75" customHeight="1" thickTop="1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1" ht="12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1" ht="15.75" customHeight="1" x14ac:dyDescent="0.25">
      <c r="A8" s="6" t="s">
        <v>3</v>
      </c>
      <c r="B8" s="7"/>
      <c r="C8" s="7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1" ht="8.25" customHeight="1" x14ac:dyDescent="0.2">
      <c r="B9" s="9"/>
      <c r="C9" s="9"/>
      <c r="D9" s="9"/>
      <c r="E9" s="10"/>
      <c r="F9" s="10"/>
      <c r="G9" s="10"/>
    </row>
    <row r="10" spans="1:21" ht="15.75" customHeight="1" x14ac:dyDescent="0.2">
      <c r="C10" s="11" t="s">
        <v>4</v>
      </c>
      <c r="D10" s="11"/>
      <c r="E10" s="12"/>
      <c r="F10" s="12"/>
      <c r="G10" s="12"/>
      <c r="H10" s="11" t="s">
        <v>5</v>
      </c>
      <c r="I10" s="11"/>
      <c r="J10" s="11"/>
      <c r="K10" s="11"/>
      <c r="L10" s="11"/>
      <c r="R10" s="13"/>
    </row>
    <row r="11" spans="1:21" ht="15.75" customHeight="1" x14ac:dyDescent="0.2">
      <c r="A11" s="14" t="s">
        <v>6</v>
      </c>
      <c r="B11" s="15" t="s">
        <v>7</v>
      </c>
      <c r="C11" s="15" t="s">
        <v>8</v>
      </c>
      <c r="D11" s="15" t="s">
        <v>9</v>
      </c>
      <c r="E11" s="16" t="s">
        <v>10</v>
      </c>
      <c r="F11" s="16" t="s">
        <v>11</v>
      </c>
      <c r="G11" s="14" t="s">
        <v>12</v>
      </c>
      <c r="H11" s="16" t="s">
        <v>13</v>
      </c>
      <c r="I11" s="16" t="s">
        <v>14</v>
      </c>
      <c r="J11" s="16" t="s">
        <v>15</v>
      </c>
      <c r="K11" s="16" t="s">
        <v>16</v>
      </c>
      <c r="L11" s="16" t="s">
        <v>17</v>
      </c>
      <c r="M11" s="17" t="s">
        <v>18</v>
      </c>
      <c r="O11" s="18"/>
      <c r="P11" s="19"/>
    </row>
    <row r="12" spans="1:21" ht="38.25" customHeight="1" x14ac:dyDescent="0.2">
      <c r="A12" s="20"/>
      <c r="B12" s="15"/>
      <c r="C12" s="15"/>
      <c r="D12" s="15"/>
      <c r="E12" s="16"/>
      <c r="F12" s="16"/>
      <c r="G12" s="20"/>
      <c r="H12" s="16"/>
      <c r="I12" s="16"/>
      <c r="J12" s="16"/>
      <c r="K12" s="16"/>
      <c r="L12" s="16"/>
      <c r="M12" s="21" t="s">
        <v>19</v>
      </c>
      <c r="N12" s="22"/>
      <c r="O12" s="18"/>
      <c r="P12" s="23"/>
    </row>
    <row r="13" spans="1:21" s="36" customFormat="1" ht="18.75" customHeight="1" x14ac:dyDescent="0.2">
      <c r="A13" s="24"/>
      <c r="B13" s="25"/>
      <c r="C13" s="25"/>
      <c r="D13" s="25"/>
      <c r="E13" s="26"/>
      <c r="F13" s="26"/>
      <c r="G13" s="27"/>
      <c r="H13" s="26"/>
      <c r="I13" s="26"/>
      <c r="J13" s="26"/>
      <c r="K13" s="26"/>
      <c r="L13" s="28"/>
      <c r="M13" s="29"/>
      <c r="N13" s="30"/>
      <c r="O13" s="30"/>
      <c r="P13" s="31"/>
      <c r="Q13" s="32"/>
      <c r="R13" s="33"/>
      <c r="S13" s="34">
        <f>+Q14+R14</f>
        <v>-2.9103830456733704E-9</v>
      </c>
      <c r="T13" s="35"/>
      <c r="U13" s="1"/>
    </row>
    <row r="14" spans="1:21" s="36" customFormat="1" x14ac:dyDescent="0.2">
      <c r="A14" s="37" t="s">
        <v>20</v>
      </c>
      <c r="B14" s="38">
        <f>SUM(B15:B20)</f>
        <v>30545148.389999997</v>
      </c>
      <c r="C14" s="38">
        <f>SUM(C15:C20)</f>
        <v>30488763.82</v>
      </c>
      <c r="D14" s="38">
        <f>SUM(D15:D20)</f>
        <v>208056.87</v>
      </c>
      <c r="E14" s="38">
        <f>20444741.51-8819.2-243631.34</f>
        <v>20192290.970000003</v>
      </c>
      <c r="F14" s="39">
        <f>E14/C14</f>
        <v>0.66228631272856908</v>
      </c>
      <c r="G14" s="40">
        <f>C14-E14</f>
        <v>10296472.849999998</v>
      </c>
      <c r="H14" s="41">
        <f>13900+364694.07+23231.91+9769337.3</f>
        <v>10171163.280000001</v>
      </c>
      <c r="I14" s="42">
        <f>13116.93+95452.92+243631.34</f>
        <v>352201.19</v>
      </c>
      <c r="J14" s="42">
        <v>8819.2000000000007</v>
      </c>
      <c r="K14" s="43">
        <f>27403.95+250</f>
        <v>27653.95</v>
      </c>
      <c r="L14" s="40">
        <f>+H14+I14+J14-K14</f>
        <v>10504529.720000001</v>
      </c>
      <c r="M14" s="44">
        <f t="shared" ref="M14" si="0">E14/B14</f>
        <v>0.66106377065794986</v>
      </c>
      <c r="N14" s="30">
        <f t="shared" ref="N14:N46" si="1">G14-H14</f>
        <v>125309.56999999657</v>
      </c>
      <c r="O14" s="30">
        <f>I14+J14-K14</f>
        <v>333366.44</v>
      </c>
      <c r="P14" s="31">
        <f t="shared" ref="P14:P46" si="2">N14-O14</f>
        <v>-208056.87000000343</v>
      </c>
      <c r="Q14" s="32">
        <f t="shared" ref="Q14:Q46" si="3">+G14-L14</f>
        <v>-208056.87000000291</v>
      </c>
      <c r="R14" s="33">
        <f>SUM(R15:R20)</f>
        <v>208056.87</v>
      </c>
      <c r="S14" s="34">
        <f>SUM(S15:S20)</f>
        <v>208056.87</v>
      </c>
      <c r="T14" s="35"/>
    </row>
    <row r="15" spans="1:21" s="49" customFormat="1" x14ac:dyDescent="0.2">
      <c r="A15" s="45" t="s">
        <v>21</v>
      </c>
      <c r="B15" s="46">
        <f>14361757.16+1085328.95</f>
        <v>15447086.109999999</v>
      </c>
      <c r="C15" s="46">
        <v>15717091.640000001</v>
      </c>
      <c r="D15" s="46"/>
      <c r="E15" s="46"/>
      <c r="F15" s="44">
        <f>E15/C15</f>
        <v>0</v>
      </c>
      <c r="G15" s="47"/>
      <c r="H15" s="48"/>
      <c r="I15" s="48"/>
      <c r="J15" s="48"/>
      <c r="K15" s="48"/>
      <c r="L15" s="48"/>
      <c r="M15" s="44">
        <f>E15/B15</f>
        <v>0</v>
      </c>
      <c r="N15" s="30">
        <f t="shared" si="1"/>
        <v>0</v>
      </c>
      <c r="O15" s="30">
        <f t="shared" ref="O15:O46" si="4">I15-K15</f>
        <v>0</v>
      </c>
      <c r="P15" s="31">
        <f t="shared" si="2"/>
        <v>0</v>
      </c>
      <c r="Q15" s="32">
        <f t="shared" si="3"/>
        <v>0</v>
      </c>
      <c r="R15" s="33">
        <f t="shared" ref="R15:R46" si="5">+Q15+D15</f>
        <v>0</v>
      </c>
      <c r="S15" s="34">
        <f t="shared" ref="S15:S46" si="6">+R15-Q15</f>
        <v>0</v>
      </c>
      <c r="T15" s="35"/>
    </row>
    <row r="16" spans="1:21" s="49" customFormat="1" x14ac:dyDescent="0.2">
      <c r="A16" s="45" t="s">
        <v>22</v>
      </c>
      <c r="B16" s="50">
        <f>32706318.49-24027754.01-7112802.32+6612802.32</f>
        <v>8178564.4799999967</v>
      </c>
      <c r="C16" s="46">
        <v>7416078.4199999999</v>
      </c>
      <c r="D16" s="46"/>
      <c r="E16" s="46"/>
      <c r="F16" s="44">
        <f>E16/C16</f>
        <v>0</v>
      </c>
      <c r="G16" s="47"/>
      <c r="H16" s="48"/>
      <c r="I16" s="48"/>
      <c r="J16" s="48"/>
      <c r="K16" s="48"/>
      <c r="L16" s="48"/>
      <c r="M16" s="44">
        <f>E16/B16</f>
        <v>0</v>
      </c>
      <c r="N16" s="30">
        <f t="shared" si="1"/>
        <v>0</v>
      </c>
      <c r="O16" s="30">
        <f t="shared" si="4"/>
        <v>0</v>
      </c>
      <c r="P16" s="31">
        <f t="shared" si="2"/>
        <v>0</v>
      </c>
      <c r="Q16" s="32">
        <f t="shared" si="3"/>
        <v>0</v>
      </c>
      <c r="R16" s="33">
        <f t="shared" si="5"/>
        <v>0</v>
      </c>
      <c r="S16" s="34">
        <f t="shared" si="6"/>
        <v>0</v>
      </c>
      <c r="T16" s="35"/>
    </row>
    <row r="17" spans="1:20" s="49" customFormat="1" x14ac:dyDescent="0.2">
      <c r="A17" s="45" t="s">
        <v>23</v>
      </c>
      <c r="B17" s="46">
        <v>2420583.0299999998</v>
      </c>
      <c r="C17" s="46">
        <v>4956740.26</v>
      </c>
      <c r="D17" s="46"/>
      <c r="E17" s="46"/>
      <c r="F17" s="44">
        <f>E17/C17</f>
        <v>0</v>
      </c>
      <c r="G17" s="47"/>
      <c r="H17" s="48"/>
      <c r="I17" s="48"/>
      <c r="J17" s="48"/>
      <c r="K17" s="48"/>
      <c r="L17" s="48"/>
      <c r="M17" s="44">
        <f>E17/B17</f>
        <v>0</v>
      </c>
      <c r="N17" s="30">
        <f t="shared" si="1"/>
        <v>0</v>
      </c>
      <c r="O17" s="30">
        <f t="shared" si="4"/>
        <v>0</v>
      </c>
      <c r="P17" s="31">
        <f t="shared" si="2"/>
        <v>0</v>
      </c>
      <c r="Q17" s="32">
        <f t="shared" si="3"/>
        <v>0</v>
      </c>
      <c r="R17" s="33">
        <f t="shared" si="5"/>
        <v>0</v>
      </c>
      <c r="S17" s="34">
        <f t="shared" si="6"/>
        <v>0</v>
      </c>
      <c r="T17" s="35"/>
    </row>
    <row r="18" spans="1:20" s="49" customFormat="1" x14ac:dyDescent="0.2">
      <c r="A18" s="45" t="s">
        <v>24</v>
      </c>
      <c r="B18" s="46">
        <f>6498914.77-2000000</f>
        <v>4498914.7699999996</v>
      </c>
      <c r="C18" s="46">
        <f>2606910.37-208056.87</f>
        <v>2398853.5</v>
      </c>
      <c r="D18" s="46">
        <v>208056.87</v>
      </c>
      <c r="E18" s="46"/>
      <c r="F18" s="44">
        <f>E18/C18</f>
        <v>0</v>
      </c>
      <c r="G18" s="47"/>
      <c r="H18" s="48"/>
      <c r="I18" s="48"/>
      <c r="J18" s="48"/>
      <c r="K18" s="48"/>
      <c r="L18" s="48"/>
      <c r="M18" s="44">
        <f t="shared" ref="M18" si="7">E18/B18</f>
        <v>0</v>
      </c>
      <c r="N18" s="30">
        <f t="shared" si="1"/>
        <v>0</v>
      </c>
      <c r="O18" s="30">
        <f t="shared" si="4"/>
        <v>0</v>
      </c>
      <c r="P18" s="31">
        <f t="shared" si="2"/>
        <v>0</v>
      </c>
      <c r="Q18" s="32">
        <f t="shared" si="3"/>
        <v>0</v>
      </c>
      <c r="R18" s="33">
        <f t="shared" si="5"/>
        <v>208056.87</v>
      </c>
      <c r="S18" s="34">
        <f t="shared" si="6"/>
        <v>208056.87</v>
      </c>
      <c r="T18" s="35"/>
    </row>
    <row r="19" spans="1:20" s="49" customFormat="1" x14ac:dyDescent="0.2">
      <c r="A19" s="45" t="s">
        <v>25</v>
      </c>
      <c r="B19" s="46"/>
      <c r="C19" s="46"/>
      <c r="D19" s="46"/>
      <c r="E19" s="46"/>
      <c r="F19" s="44">
        <v>0</v>
      </c>
      <c r="G19" s="47"/>
      <c r="H19" s="48"/>
      <c r="I19" s="48"/>
      <c r="J19" s="48"/>
      <c r="K19" s="48"/>
      <c r="L19" s="48"/>
      <c r="M19" s="44">
        <v>0</v>
      </c>
      <c r="N19" s="30">
        <f t="shared" si="1"/>
        <v>0</v>
      </c>
      <c r="O19" s="30">
        <f t="shared" si="4"/>
        <v>0</v>
      </c>
      <c r="P19" s="31">
        <f t="shared" si="2"/>
        <v>0</v>
      </c>
      <c r="Q19" s="32">
        <f t="shared" si="3"/>
        <v>0</v>
      </c>
      <c r="R19" s="33">
        <f t="shared" si="5"/>
        <v>0</v>
      </c>
      <c r="S19" s="34">
        <f t="shared" si="6"/>
        <v>0</v>
      </c>
      <c r="T19" s="35"/>
    </row>
    <row r="20" spans="1:20" s="49" customFormat="1" x14ac:dyDescent="0.2">
      <c r="A20" s="45" t="s">
        <v>26</v>
      </c>
      <c r="B20" s="46"/>
      <c r="C20" s="46"/>
      <c r="D20" s="46"/>
      <c r="E20" s="46"/>
      <c r="F20" s="44">
        <v>0</v>
      </c>
      <c r="G20" s="47"/>
      <c r="H20" s="48"/>
      <c r="I20" s="48"/>
      <c r="J20" s="48"/>
      <c r="K20" s="48"/>
      <c r="L20" s="48"/>
      <c r="M20" s="44">
        <v>0</v>
      </c>
      <c r="N20" s="30">
        <f t="shared" si="1"/>
        <v>0</v>
      </c>
      <c r="O20" s="30">
        <f t="shared" si="4"/>
        <v>0</v>
      </c>
      <c r="P20" s="31">
        <f t="shared" si="2"/>
        <v>0</v>
      </c>
      <c r="Q20" s="32">
        <f t="shared" si="3"/>
        <v>0</v>
      </c>
      <c r="R20" s="33">
        <f t="shared" si="5"/>
        <v>0</v>
      </c>
      <c r="S20" s="34">
        <f t="shared" si="6"/>
        <v>0</v>
      </c>
      <c r="T20" s="35"/>
    </row>
    <row r="21" spans="1:20" s="36" customFormat="1" x14ac:dyDescent="0.2">
      <c r="A21" s="51" t="s">
        <v>27</v>
      </c>
      <c r="B21" s="46">
        <f>692948.8+587.6</f>
        <v>693536.4</v>
      </c>
      <c r="C21" s="46"/>
      <c r="D21" s="46"/>
      <c r="E21" s="46">
        <f>693536.4-616083.2</f>
        <v>77453.20000000007</v>
      </c>
      <c r="F21" s="44">
        <v>1</v>
      </c>
      <c r="G21" s="47">
        <f t="shared" ref="G21:G46" si="8">C21-E21</f>
        <v>-77453.20000000007</v>
      </c>
      <c r="H21" s="52">
        <v>0</v>
      </c>
      <c r="I21" s="48">
        <f>(941687.82+616083.2)</f>
        <v>1557771.02</v>
      </c>
      <c r="J21" s="48">
        <v>2290250.96</v>
      </c>
      <c r="K21" s="53">
        <f>3924887.58+587.6</f>
        <v>3925475.18</v>
      </c>
      <c r="L21" s="47">
        <f t="shared" ref="L21:L46" si="9">+H21+I21+J21-K21</f>
        <v>-77453.200000000186</v>
      </c>
      <c r="M21" s="44">
        <v>1</v>
      </c>
      <c r="N21" s="30">
        <f t="shared" si="1"/>
        <v>-77453.20000000007</v>
      </c>
      <c r="O21" s="30">
        <f t="shared" si="4"/>
        <v>-2367704.16</v>
      </c>
      <c r="P21" s="31">
        <f t="shared" si="2"/>
        <v>2290250.96</v>
      </c>
      <c r="Q21" s="32">
        <f t="shared" si="3"/>
        <v>1.1641532182693481E-10</v>
      </c>
      <c r="R21" s="33">
        <f t="shared" si="5"/>
        <v>1.1641532182693481E-10</v>
      </c>
      <c r="S21" s="34">
        <f t="shared" si="6"/>
        <v>0</v>
      </c>
      <c r="T21" s="35"/>
    </row>
    <row r="22" spans="1:20" s="49" customFormat="1" x14ac:dyDescent="0.2">
      <c r="A22" s="45" t="s">
        <v>28</v>
      </c>
      <c r="B22" s="54">
        <v>39005949.619999997</v>
      </c>
      <c r="C22" s="46">
        <v>26634852.920000002</v>
      </c>
      <c r="D22" s="46">
        <v>62521.32</v>
      </c>
      <c r="E22" s="46">
        <f>27002621.35-5518916.93</f>
        <v>21483704.420000002</v>
      </c>
      <c r="F22" s="44">
        <f t="shared" ref="F22:F30" si="10">E22/C22</f>
        <v>0.80660120348807995</v>
      </c>
      <c r="G22" s="47">
        <f t="shared" si="8"/>
        <v>5151148.5</v>
      </c>
      <c r="H22" s="52">
        <v>299589.74</v>
      </c>
      <c r="I22" s="48">
        <f>5518916.93</f>
        <v>5518916.9299999997</v>
      </c>
      <c r="J22" s="48"/>
      <c r="K22" s="48">
        <f>530740.63+80959.25-6863.03</f>
        <v>604836.85</v>
      </c>
      <c r="L22" s="28">
        <f t="shared" si="9"/>
        <v>5213669.82</v>
      </c>
      <c r="M22" s="44">
        <f t="shared" ref="M22:M42" si="11">E22/B22</f>
        <v>0.55078019197831296</v>
      </c>
      <c r="N22" s="30">
        <f t="shared" si="1"/>
        <v>4851558.76</v>
      </c>
      <c r="O22" s="30">
        <f t="shared" si="4"/>
        <v>4914080.08</v>
      </c>
      <c r="P22" s="31">
        <f t="shared" si="2"/>
        <v>-62521.320000000298</v>
      </c>
      <c r="Q22" s="32">
        <f t="shared" si="3"/>
        <v>-62521.320000000298</v>
      </c>
      <c r="R22" s="33">
        <f t="shared" si="5"/>
        <v>-2.9831426218152046E-10</v>
      </c>
      <c r="S22" s="34">
        <f t="shared" si="6"/>
        <v>62521.32</v>
      </c>
      <c r="T22" s="35"/>
    </row>
    <row r="23" spans="1:20" s="49" customFormat="1" x14ac:dyDescent="0.2">
      <c r="A23" s="45" t="s">
        <v>29</v>
      </c>
      <c r="B23" s="54">
        <f>118617.76+1650462.16</f>
        <v>1769079.92</v>
      </c>
      <c r="C23" s="46"/>
      <c r="D23" s="46"/>
      <c r="E23" s="46">
        <v>1769079.92</v>
      </c>
      <c r="F23" s="44">
        <v>1</v>
      </c>
      <c r="G23" s="47">
        <f t="shared" si="8"/>
        <v>-1769079.92</v>
      </c>
      <c r="H23" s="52">
        <v>0</v>
      </c>
      <c r="I23" s="48">
        <f>+(600000)</f>
        <v>600000</v>
      </c>
      <c r="J23" s="48"/>
      <c r="K23" s="48">
        <f>718617.76+1650462.16</f>
        <v>2369079.92</v>
      </c>
      <c r="L23" s="28">
        <f t="shared" si="9"/>
        <v>-1769079.92</v>
      </c>
      <c r="M23" s="44">
        <f t="shared" si="11"/>
        <v>1</v>
      </c>
      <c r="N23" s="30">
        <f t="shared" si="1"/>
        <v>-1769079.92</v>
      </c>
      <c r="O23" s="30">
        <f t="shared" si="4"/>
        <v>-1769079.92</v>
      </c>
      <c r="P23" s="31">
        <f t="shared" si="2"/>
        <v>0</v>
      </c>
      <c r="Q23" s="32">
        <f t="shared" si="3"/>
        <v>0</v>
      </c>
      <c r="R23" s="33">
        <f t="shared" si="5"/>
        <v>0</v>
      </c>
      <c r="S23" s="34">
        <f t="shared" si="6"/>
        <v>0</v>
      </c>
      <c r="T23" s="35"/>
    </row>
    <row r="24" spans="1:20" s="49" customFormat="1" x14ac:dyDescent="0.2">
      <c r="A24" s="45" t="s">
        <v>30</v>
      </c>
      <c r="B24" s="46">
        <v>18146583.440000001</v>
      </c>
      <c r="C24" s="46">
        <v>13372413.76</v>
      </c>
      <c r="D24" s="46">
        <v>1822.81</v>
      </c>
      <c r="E24" s="46">
        <v>12835682.260000002</v>
      </c>
      <c r="F24" s="44">
        <f t="shared" si="10"/>
        <v>0.9598627809733582</v>
      </c>
      <c r="G24" s="47">
        <f t="shared" si="8"/>
        <v>536731.49999999814</v>
      </c>
      <c r="H24" s="52">
        <v>634608.68999999994</v>
      </c>
      <c r="I24" s="48"/>
      <c r="J24" s="48"/>
      <c r="K24" s="48">
        <f>93785.54+2268.84</f>
        <v>96054.37999999999</v>
      </c>
      <c r="L24" s="28">
        <f t="shared" si="9"/>
        <v>538554.30999999994</v>
      </c>
      <c r="M24" s="44">
        <f t="shared" si="11"/>
        <v>0.70733327308911875</v>
      </c>
      <c r="N24" s="30">
        <f t="shared" si="1"/>
        <v>-97877.190000001807</v>
      </c>
      <c r="O24" s="30">
        <f t="shared" si="4"/>
        <v>-96054.37999999999</v>
      </c>
      <c r="P24" s="31">
        <f t="shared" si="2"/>
        <v>-1822.8100000018167</v>
      </c>
      <c r="Q24" s="32">
        <f t="shared" si="3"/>
        <v>-1822.8100000018021</v>
      </c>
      <c r="R24" s="33">
        <f t="shared" si="5"/>
        <v>-1.8021637515630573E-9</v>
      </c>
      <c r="S24" s="34">
        <f t="shared" si="6"/>
        <v>1822.81</v>
      </c>
    </row>
    <row r="25" spans="1:20" s="49" customFormat="1" x14ac:dyDescent="0.2">
      <c r="A25" s="45" t="s">
        <v>31</v>
      </c>
      <c r="B25" s="46">
        <v>686847.03</v>
      </c>
      <c r="C25" s="46"/>
      <c r="D25" s="46"/>
      <c r="E25" s="46">
        <f>686847.03-686847.03</f>
        <v>0</v>
      </c>
      <c r="F25" s="44">
        <v>1</v>
      </c>
      <c r="G25" s="47">
        <f t="shared" si="8"/>
        <v>0</v>
      </c>
      <c r="H25" s="52">
        <v>0</v>
      </c>
      <c r="I25" s="48">
        <v>686847.03</v>
      </c>
      <c r="J25" s="48"/>
      <c r="K25" s="48">
        <f>686847.03</f>
        <v>686847.03</v>
      </c>
      <c r="L25" s="28">
        <f t="shared" si="9"/>
        <v>0</v>
      </c>
      <c r="M25" s="44">
        <v>1</v>
      </c>
      <c r="N25" s="30">
        <f t="shared" si="1"/>
        <v>0</v>
      </c>
      <c r="O25" s="30">
        <f t="shared" si="4"/>
        <v>0</v>
      </c>
      <c r="P25" s="31">
        <f t="shared" si="2"/>
        <v>0</v>
      </c>
      <c r="Q25" s="32">
        <f t="shared" si="3"/>
        <v>0</v>
      </c>
      <c r="R25" s="33">
        <f t="shared" si="5"/>
        <v>0</v>
      </c>
      <c r="S25" s="34">
        <f t="shared" si="6"/>
        <v>0</v>
      </c>
    </row>
    <row r="26" spans="1:20" s="49" customFormat="1" x14ac:dyDescent="0.2">
      <c r="A26" s="45" t="s">
        <v>32</v>
      </c>
      <c r="B26" s="55">
        <v>5323842</v>
      </c>
      <c r="C26" s="46">
        <v>5724629</v>
      </c>
      <c r="D26" s="46">
        <v>10092.5</v>
      </c>
      <c r="E26" s="46">
        <v>3942780.18</v>
      </c>
      <c r="F26" s="44">
        <f t="shared" si="10"/>
        <v>0.6887398606966495</v>
      </c>
      <c r="G26" s="47">
        <f t="shared" si="8"/>
        <v>1781848.8199999998</v>
      </c>
      <c r="H26" s="56">
        <v>1805663.26</v>
      </c>
      <c r="I26" s="48"/>
      <c r="J26" s="48"/>
      <c r="K26" s="48">
        <f>1671+12050.94</f>
        <v>13721.94</v>
      </c>
      <c r="L26" s="28">
        <f t="shared" si="9"/>
        <v>1791941.32</v>
      </c>
      <c r="M26" s="44">
        <f t="shared" si="11"/>
        <v>0.7405892549027564</v>
      </c>
      <c r="N26" s="30">
        <f t="shared" si="1"/>
        <v>-23814.440000000177</v>
      </c>
      <c r="O26" s="30">
        <f t="shared" si="4"/>
        <v>-13721.94</v>
      </c>
      <c r="P26" s="31">
        <f t="shared" si="2"/>
        <v>-10092.500000000176</v>
      </c>
      <c r="Q26" s="32">
        <f t="shared" si="3"/>
        <v>-10092.500000000233</v>
      </c>
      <c r="R26" s="33">
        <f t="shared" si="5"/>
        <v>-2.3283064365386963E-10</v>
      </c>
      <c r="S26" s="34">
        <f t="shared" si="6"/>
        <v>10092.5</v>
      </c>
    </row>
    <row r="27" spans="1:20" s="49" customFormat="1" x14ac:dyDescent="0.2">
      <c r="A27" s="45" t="s">
        <v>33</v>
      </c>
      <c r="B27" s="55">
        <f>2633015.6+2703.44</f>
        <v>2635719.04</v>
      </c>
      <c r="C27" s="46"/>
      <c r="D27" s="46"/>
      <c r="E27" s="46">
        <f>2635719.04-161008-944094.14</f>
        <v>1530616.9</v>
      </c>
      <c r="F27" s="44">
        <f>2631369.04/2635719.04</f>
        <v>0.99834959647292298</v>
      </c>
      <c r="G27" s="47">
        <f t="shared" si="8"/>
        <v>-1530616.9</v>
      </c>
      <c r="H27" s="52">
        <v>0</v>
      </c>
      <c r="I27" s="48">
        <f>+(886287.78+944094.14)</f>
        <v>1830381.92</v>
      </c>
      <c r="J27" s="48">
        <f>770264.12+161008</f>
        <v>931272.12</v>
      </c>
      <c r="K27" s="48">
        <f>4289567.5+2703.44</f>
        <v>4292270.9400000004</v>
      </c>
      <c r="L27" s="28">
        <f t="shared" si="9"/>
        <v>-1530616.9000000004</v>
      </c>
      <c r="M27" s="44">
        <v>1</v>
      </c>
      <c r="N27" s="30">
        <f t="shared" si="1"/>
        <v>-1530616.9</v>
      </c>
      <c r="O27" s="30">
        <f t="shared" si="4"/>
        <v>-2461889.0200000005</v>
      </c>
      <c r="P27" s="31">
        <f t="shared" si="2"/>
        <v>931272.12000000058</v>
      </c>
      <c r="Q27" s="32">
        <f t="shared" si="3"/>
        <v>0</v>
      </c>
      <c r="R27" s="33">
        <f t="shared" si="5"/>
        <v>0</v>
      </c>
      <c r="S27" s="34">
        <f t="shared" si="6"/>
        <v>0</v>
      </c>
    </row>
    <row r="28" spans="1:20" s="49" customFormat="1" x14ac:dyDescent="0.2">
      <c r="A28" s="45" t="s">
        <v>34</v>
      </c>
      <c r="B28" s="46">
        <v>1602977.68</v>
      </c>
      <c r="C28" s="46">
        <v>1134185.8700000001</v>
      </c>
      <c r="D28" s="46">
        <v>150.18</v>
      </c>
      <c r="E28" s="46">
        <v>794647.47</v>
      </c>
      <c r="F28" s="44">
        <f t="shared" si="10"/>
        <v>0.7006324898052203</v>
      </c>
      <c r="G28" s="47">
        <f t="shared" si="8"/>
        <v>339538.40000000014</v>
      </c>
      <c r="H28" s="57">
        <v>345360.67</v>
      </c>
      <c r="I28" s="48"/>
      <c r="J28" s="48"/>
      <c r="K28" s="48">
        <f>1898.5+3773.59</f>
        <v>5672.09</v>
      </c>
      <c r="L28" s="28">
        <f t="shared" si="9"/>
        <v>339688.57999999996</v>
      </c>
      <c r="M28" s="44">
        <f t="shared" si="11"/>
        <v>0.49573208655032552</v>
      </c>
      <c r="N28" s="30">
        <f t="shared" si="1"/>
        <v>-5822.269999999844</v>
      </c>
      <c r="O28" s="30">
        <f t="shared" si="4"/>
        <v>-5672.09</v>
      </c>
      <c r="P28" s="31">
        <f t="shared" si="2"/>
        <v>-150.17999999984386</v>
      </c>
      <c r="Q28" s="32">
        <f t="shared" si="3"/>
        <v>-150.17999999981839</v>
      </c>
      <c r="R28" s="33">
        <f t="shared" si="5"/>
        <v>1.8161472326028161E-10</v>
      </c>
      <c r="S28" s="34">
        <f t="shared" si="6"/>
        <v>150.18</v>
      </c>
    </row>
    <row r="29" spans="1:20" s="49" customFormat="1" x14ac:dyDescent="0.2">
      <c r="A29" s="45" t="s">
        <v>35</v>
      </c>
      <c r="B29" s="46">
        <v>38824.57</v>
      </c>
      <c r="C29" s="46"/>
      <c r="D29" s="46"/>
      <c r="E29" s="46">
        <v>38824.57</v>
      </c>
      <c r="F29" s="44">
        <v>1</v>
      </c>
      <c r="G29" s="47">
        <f t="shared" si="8"/>
        <v>-38824.57</v>
      </c>
      <c r="H29" s="52">
        <v>0</v>
      </c>
      <c r="I29" s="48"/>
      <c r="J29" s="48"/>
      <c r="K29" s="48">
        <v>38824.57</v>
      </c>
      <c r="L29" s="28">
        <f t="shared" si="9"/>
        <v>-38824.57</v>
      </c>
      <c r="M29" s="44">
        <f t="shared" si="11"/>
        <v>1</v>
      </c>
      <c r="N29" s="30">
        <f t="shared" si="1"/>
        <v>-38824.57</v>
      </c>
      <c r="O29" s="30">
        <f t="shared" si="4"/>
        <v>-38824.57</v>
      </c>
      <c r="P29" s="31">
        <f t="shared" si="2"/>
        <v>0</v>
      </c>
      <c r="Q29" s="32">
        <f t="shared" si="3"/>
        <v>0</v>
      </c>
      <c r="R29" s="33">
        <f t="shared" si="5"/>
        <v>0</v>
      </c>
      <c r="S29" s="34">
        <f t="shared" si="6"/>
        <v>0</v>
      </c>
    </row>
    <row r="30" spans="1:20" s="49" customFormat="1" x14ac:dyDescent="0.2">
      <c r="A30" s="45" t="s">
        <v>36</v>
      </c>
      <c r="B30" s="54">
        <v>1757703.64</v>
      </c>
      <c r="C30" s="54">
        <v>1221312.3600000001</v>
      </c>
      <c r="D30" s="46">
        <v>595.41999999999996</v>
      </c>
      <c r="E30" s="46">
        <v>1123705.54</v>
      </c>
      <c r="F30" s="44">
        <f t="shared" si="10"/>
        <v>0.92008037976460011</v>
      </c>
      <c r="G30" s="47">
        <f t="shared" si="8"/>
        <v>97606.820000000065</v>
      </c>
      <c r="H30" s="52">
        <v>98202.240000000005</v>
      </c>
      <c r="I30" s="48"/>
      <c r="J30" s="48"/>
      <c r="K30" s="48"/>
      <c r="L30" s="28">
        <f t="shared" si="9"/>
        <v>98202.240000000005</v>
      </c>
      <c r="M30" s="44">
        <f t="shared" si="11"/>
        <v>0.63930318765227123</v>
      </c>
      <c r="N30" s="30">
        <f t="shared" si="1"/>
        <v>-595.41999999994005</v>
      </c>
      <c r="O30" s="30">
        <f t="shared" si="4"/>
        <v>0</v>
      </c>
      <c r="P30" s="31">
        <f t="shared" si="2"/>
        <v>-595.41999999994005</v>
      </c>
      <c r="Q30" s="32">
        <f t="shared" si="3"/>
        <v>-595.41999999994005</v>
      </c>
      <c r="R30" s="33">
        <f t="shared" si="5"/>
        <v>5.9912963479291648E-11</v>
      </c>
      <c r="S30" s="34">
        <f t="shared" si="6"/>
        <v>595.41999999999996</v>
      </c>
    </row>
    <row r="31" spans="1:20" s="49" customFormat="1" x14ac:dyDescent="0.2">
      <c r="A31" s="45" t="s">
        <v>37</v>
      </c>
      <c r="B31" s="54">
        <v>44513.35</v>
      </c>
      <c r="C31" s="54"/>
      <c r="D31" s="46"/>
      <c r="E31" s="46">
        <v>44513.35</v>
      </c>
      <c r="F31" s="44">
        <v>1</v>
      </c>
      <c r="G31" s="47">
        <f t="shared" si="8"/>
        <v>-44513.35</v>
      </c>
      <c r="H31" s="52">
        <v>0</v>
      </c>
      <c r="I31" s="48"/>
      <c r="J31" s="48"/>
      <c r="K31" s="48">
        <v>44513.35</v>
      </c>
      <c r="L31" s="28">
        <f t="shared" si="9"/>
        <v>-44513.35</v>
      </c>
      <c r="M31" s="44">
        <f t="shared" si="11"/>
        <v>1</v>
      </c>
      <c r="N31" s="30">
        <f t="shared" si="1"/>
        <v>-44513.35</v>
      </c>
      <c r="O31" s="30">
        <f t="shared" si="4"/>
        <v>-44513.35</v>
      </c>
      <c r="P31" s="31">
        <f t="shared" si="2"/>
        <v>0</v>
      </c>
      <c r="Q31" s="32">
        <f t="shared" si="3"/>
        <v>0</v>
      </c>
      <c r="R31" s="33">
        <f t="shared" si="5"/>
        <v>0</v>
      </c>
      <c r="S31" s="34">
        <f t="shared" si="6"/>
        <v>0</v>
      </c>
    </row>
    <row r="32" spans="1:20" s="49" customFormat="1" x14ac:dyDescent="0.2">
      <c r="A32" s="45" t="s">
        <v>38</v>
      </c>
      <c r="B32" s="54">
        <v>812784.71</v>
      </c>
      <c r="C32" s="54">
        <v>518657.71</v>
      </c>
      <c r="D32" s="46">
        <v>465.84</v>
      </c>
      <c r="E32" s="46">
        <v>408459.45</v>
      </c>
      <c r="F32" s="44">
        <f t="shared" ref="F32" si="12">E32/C32</f>
        <v>0.78753181939587868</v>
      </c>
      <c r="G32" s="47">
        <f t="shared" si="8"/>
        <v>110198.26000000001</v>
      </c>
      <c r="H32" s="52">
        <v>110664.1</v>
      </c>
      <c r="I32" s="48"/>
      <c r="J32" s="48"/>
      <c r="K32" s="48"/>
      <c r="L32" s="28">
        <f t="shared" si="9"/>
        <v>110664.1</v>
      </c>
      <c r="M32" s="44">
        <f t="shared" si="11"/>
        <v>0.5025432257454745</v>
      </c>
      <c r="N32" s="30">
        <f t="shared" si="1"/>
        <v>-465.83999999999651</v>
      </c>
      <c r="O32" s="30">
        <f t="shared" si="4"/>
        <v>0</v>
      </c>
      <c r="P32" s="31">
        <f t="shared" si="2"/>
        <v>-465.83999999999651</v>
      </c>
      <c r="Q32" s="32">
        <f t="shared" si="3"/>
        <v>-465.83999999999651</v>
      </c>
      <c r="R32" s="33">
        <f t="shared" si="5"/>
        <v>3.4674485505092889E-12</v>
      </c>
      <c r="S32" s="34">
        <f t="shared" si="6"/>
        <v>465.84</v>
      </c>
    </row>
    <row r="33" spans="1:20" s="49" customFormat="1" x14ac:dyDescent="0.2">
      <c r="A33" s="45" t="s">
        <v>39</v>
      </c>
      <c r="B33" s="54">
        <v>408768.22</v>
      </c>
      <c r="C33" s="54"/>
      <c r="D33" s="46"/>
      <c r="E33" s="46">
        <v>408768.22</v>
      </c>
      <c r="F33" s="44">
        <v>1</v>
      </c>
      <c r="G33" s="47">
        <f t="shared" si="8"/>
        <v>-408768.22</v>
      </c>
      <c r="H33" s="52">
        <v>0</v>
      </c>
      <c r="I33" s="48"/>
      <c r="J33" s="48"/>
      <c r="K33" s="48">
        <f>408768.22</f>
        <v>408768.22</v>
      </c>
      <c r="L33" s="28">
        <f t="shared" si="9"/>
        <v>-408768.22</v>
      </c>
      <c r="M33" s="44">
        <f t="shared" si="11"/>
        <v>1</v>
      </c>
      <c r="N33" s="30">
        <f t="shared" si="1"/>
        <v>-408768.22</v>
      </c>
      <c r="O33" s="30">
        <f t="shared" si="4"/>
        <v>-408768.22</v>
      </c>
      <c r="P33" s="31">
        <f t="shared" si="2"/>
        <v>0</v>
      </c>
      <c r="Q33" s="32">
        <f t="shared" si="3"/>
        <v>0</v>
      </c>
      <c r="R33" s="33">
        <f t="shared" si="5"/>
        <v>0</v>
      </c>
      <c r="S33" s="34">
        <f t="shared" si="6"/>
        <v>0</v>
      </c>
    </row>
    <row r="34" spans="1:20" s="49" customFormat="1" x14ac:dyDescent="0.2">
      <c r="A34" s="58" t="s">
        <v>40</v>
      </c>
      <c r="B34" s="54">
        <v>159212.9</v>
      </c>
      <c r="C34" s="46">
        <v>411701.38</v>
      </c>
      <c r="D34" s="46">
        <v>457.79</v>
      </c>
      <c r="E34" s="46">
        <v>107006.3</v>
      </c>
      <c r="F34" s="44">
        <f>E34/C34</f>
        <v>0.25991241515877356</v>
      </c>
      <c r="G34" s="47">
        <f>C34-E34</f>
        <v>304695.08</v>
      </c>
      <c r="H34" s="52">
        <v>305152.87</v>
      </c>
      <c r="I34" s="48"/>
      <c r="J34" s="48"/>
      <c r="K34" s="48"/>
      <c r="L34" s="28">
        <f>+H34+I34+J34-K34</f>
        <v>305152.87</v>
      </c>
      <c r="M34" s="44">
        <f t="shared" si="11"/>
        <v>0.67209566561503498</v>
      </c>
      <c r="N34" s="30">
        <f>G34-H34</f>
        <v>-457.78999999997905</v>
      </c>
      <c r="O34" s="30">
        <f>I34-K34</f>
        <v>0</v>
      </c>
      <c r="P34" s="31">
        <f>N34-O34</f>
        <v>-457.78999999997905</v>
      </c>
      <c r="Q34" s="32">
        <f>+G34-L34</f>
        <v>-457.78999999997905</v>
      </c>
      <c r="R34" s="33">
        <f>+Q34+D34</f>
        <v>2.0975221559638157E-11</v>
      </c>
      <c r="S34" s="34">
        <f>+R34-Q34</f>
        <v>457.79</v>
      </c>
    </row>
    <row r="35" spans="1:20" s="49" customFormat="1" x14ac:dyDescent="0.2">
      <c r="A35" s="58" t="s">
        <v>41</v>
      </c>
      <c r="B35" s="54">
        <v>63853.279999999999</v>
      </c>
      <c r="C35" s="46"/>
      <c r="D35" s="46"/>
      <c r="E35" s="46">
        <v>63853.279999999999</v>
      </c>
      <c r="F35" s="44">
        <v>1</v>
      </c>
      <c r="G35" s="47">
        <f>C35-E35</f>
        <v>-63853.279999999999</v>
      </c>
      <c r="H35" s="52">
        <v>0</v>
      </c>
      <c r="I35" s="48"/>
      <c r="J35" s="48"/>
      <c r="K35" s="48">
        <v>63853.279999999999</v>
      </c>
      <c r="L35" s="28">
        <f>+H35+I35+J35-K35</f>
        <v>-63853.279999999999</v>
      </c>
      <c r="M35" s="44">
        <f t="shared" si="11"/>
        <v>1</v>
      </c>
      <c r="N35" s="30">
        <f>G35-H35</f>
        <v>-63853.279999999999</v>
      </c>
      <c r="O35" s="30">
        <f>I35-K35</f>
        <v>-63853.279999999999</v>
      </c>
      <c r="P35" s="31">
        <f>N35-O35</f>
        <v>0</v>
      </c>
      <c r="Q35" s="32">
        <f>+G35-L35</f>
        <v>0</v>
      </c>
      <c r="R35" s="33">
        <f>+Q35+D35</f>
        <v>0</v>
      </c>
      <c r="S35" s="34">
        <f>+R35-Q35</f>
        <v>0</v>
      </c>
    </row>
    <row r="36" spans="1:20" s="49" customFormat="1" x14ac:dyDescent="0.2">
      <c r="A36" s="45" t="s">
        <v>42</v>
      </c>
      <c r="B36" s="54">
        <v>69306</v>
      </c>
      <c r="C36" s="54">
        <v>51979.59</v>
      </c>
      <c r="D36" s="46">
        <v>52.29</v>
      </c>
      <c r="E36" s="46">
        <v>10173.56</v>
      </c>
      <c r="F36" s="44">
        <f t="shared" ref="F36" si="13">E36/C36</f>
        <v>0.1957222055810752</v>
      </c>
      <c r="G36" s="47">
        <f t="shared" ref="G36" si="14">C36-E36</f>
        <v>41806.03</v>
      </c>
      <c r="H36" s="52">
        <v>41858.32</v>
      </c>
      <c r="I36" s="48"/>
      <c r="J36" s="48"/>
      <c r="K36" s="48"/>
      <c r="L36" s="28">
        <f t="shared" ref="L36" si="15">+H36+I36+J36-K36</f>
        <v>41858.32</v>
      </c>
      <c r="M36" s="44">
        <f t="shared" si="11"/>
        <v>0.14679190834848352</v>
      </c>
      <c r="N36" s="30">
        <f t="shared" ref="N36" si="16">G36-H36</f>
        <v>-52.290000000000873</v>
      </c>
      <c r="O36" s="30">
        <f t="shared" ref="O36" si="17">I36-K36</f>
        <v>0</v>
      </c>
      <c r="P36" s="31">
        <f t="shared" ref="P36" si="18">N36-O36</f>
        <v>-52.290000000000873</v>
      </c>
      <c r="Q36" s="32">
        <f t="shared" ref="Q36" si="19">+G36-L36</f>
        <v>-52.290000000000873</v>
      </c>
      <c r="R36" s="33">
        <f t="shared" ref="R36" si="20">+Q36+D36</f>
        <v>-8.7396756498492323E-13</v>
      </c>
      <c r="S36" s="34">
        <f t="shared" ref="S36" si="21">+R36-Q36</f>
        <v>52.29</v>
      </c>
    </row>
    <row r="37" spans="1:20" s="49" customFormat="1" x14ac:dyDescent="0.2">
      <c r="A37" s="45" t="s">
        <v>43</v>
      </c>
      <c r="B37" s="54">
        <v>10955.17</v>
      </c>
      <c r="C37" s="54"/>
      <c r="D37" s="46"/>
      <c r="E37" s="46">
        <v>10955.17</v>
      </c>
      <c r="F37" s="44">
        <v>1</v>
      </c>
      <c r="G37" s="47">
        <f t="shared" si="8"/>
        <v>-10955.17</v>
      </c>
      <c r="H37" s="52">
        <v>0</v>
      </c>
      <c r="I37" s="48"/>
      <c r="J37" s="48"/>
      <c r="K37" s="48">
        <v>10955.17</v>
      </c>
      <c r="L37" s="28">
        <f t="shared" si="9"/>
        <v>-10955.17</v>
      </c>
      <c r="M37" s="44">
        <f t="shared" si="11"/>
        <v>1</v>
      </c>
      <c r="N37" s="30">
        <f t="shared" si="1"/>
        <v>-10955.17</v>
      </c>
      <c r="O37" s="30">
        <f t="shared" si="4"/>
        <v>-10955.17</v>
      </c>
      <c r="P37" s="31">
        <f t="shared" si="2"/>
        <v>0</v>
      </c>
      <c r="Q37" s="32">
        <f t="shared" si="3"/>
        <v>0</v>
      </c>
      <c r="R37" s="33">
        <f t="shared" si="5"/>
        <v>0</v>
      </c>
      <c r="S37" s="34">
        <f t="shared" si="6"/>
        <v>0</v>
      </c>
    </row>
    <row r="38" spans="1:20" s="49" customFormat="1" x14ac:dyDescent="0.2">
      <c r="A38" s="45" t="s">
        <v>44</v>
      </c>
      <c r="B38" s="46">
        <v>3252141.39</v>
      </c>
      <c r="C38" s="46">
        <v>3252141.39</v>
      </c>
      <c r="D38" s="46">
        <v>2588.98</v>
      </c>
      <c r="E38" s="46">
        <v>823051.18</v>
      </c>
      <c r="F38" s="44">
        <f>E38/C38</f>
        <v>0.25307976539113508</v>
      </c>
      <c r="G38" s="47">
        <f>C38-E38</f>
        <v>2429090.21</v>
      </c>
      <c r="H38" s="57">
        <v>2436082.39</v>
      </c>
      <c r="I38" s="48"/>
      <c r="J38" s="48"/>
      <c r="K38" s="48">
        <v>4403.2</v>
      </c>
      <c r="L38" s="28">
        <f>+H38+I38+J38-K38</f>
        <v>2431679.19</v>
      </c>
      <c r="M38" s="44">
        <f t="shared" si="11"/>
        <v>0.25307976539113508</v>
      </c>
      <c r="N38" s="30">
        <f>G38-H38</f>
        <v>-6992.1800000001676</v>
      </c>
      <c r="O38" s="30">
        <f>I38-K38</f>
        <v>-4403.2</v>
      </c>
      <c r="P38" s="31">
        <f>N38-O38</f>
        <v>-2588.9800000001678</v>
      </c>
      <c r="Q38" s="32">
        <f>+G38-L38</f>
        <v>-2588.9799999999814</v>
      </c>
      <c r="R38" s="33">
        <f>+Q38+D38</f>
        <v>1.8644641386345029E-11</v>
      </c>
      <c r="S38" s="34">
        <f>+R38-Q38</f>
        <v>2588.98</v>
      </c>
    </row>
    <row r="39" spans="1:20" s="49" customFormat="1" x14ac:dyDescent="0.2">
      <c r="A39" s="45" t="s">
        <v>45</v>
      </c>
      <c r="B39" s="46">
        <v>1665115.18</v>
      </c>
      <c r="C39" s="46"/>
      <c r="D39" s="46"/>
      <c r="E39" s="46">
        <f>1665115.18-1641745.96</f>
        <v>23369.219999999972</v>
      </c>
      <c r="F39" s="44">
        <v>1</v>
      </c>
      <c r="G39" s="47">
        <f>C39-E39</f>
        <v>-23369.219999999972</v>
      </c>
      <c r="H39" s="52">
        <v>0</v>
      </c>
      <c r="I39" s="48">
        <v>1641745.96</v>
      </c>
      <c r="J39" s="48"/>
      <c r="K39" s="48">
        <v>1665115.18</v>
      </c>
      <c r="L39" s="28">
        <f>+H39+I39+J39-K39</f>
        <v>-23369.219999999972</v>
      </c>
      <c r="M39" s="44">
        <v>1</v>
      </c>
      <c r="N39" s="30">
        <f>G39-H39</f>
        <v>-23369.219999999972</v>
      </c>
      <c r="O39" s="30">
        <f>I39-K39</f>
        <v>-23369.219999999972</v>
      </c>
      <c r="P39" s="31">
        <f>N39-O39</f>
        <v>0</v>
      </c>
      <c r="Q39" s="32">
        <f>+G39-L39</f>
        <v>0</v>
      </c>
      <c r="R39" s="33">
        <f>+Q39+D39</f>
        <v>0</v>
      </c>
      <c r="S39" s="34">
        <f>+R39-Q39</f>
        <v>0</v>
      </c>
    </row>
    <row r="40" spans="1:20" s="49" customFormat="1" x14ac:dyDescent="0.2">
      <c r="A40" s="45" t="s">
        <v>46</v>
      </c>
      <c r="B40" s="46">
        <v>40458140</v>
      </c>
      <c r="C40" s="46">
        <v>30343605.210000001</v>
      </c>
      <c r="D40" s="46">
        <v>866.37</v>
      </c>
      <c r="E40" s="46">
        <f>26036015.3-391461.45-3139675.58</f>
        <v>22504878.270000003</v>
      </c>
      <c r="F40" s="44">
        <f>E40/C40</f>
        <v>0.7416679103965973</v>
      </c>
      <c r="G40" s="47">
        <f>C40-E40</f>
        <v>7838726.9399999976</v>
      </c>
      <c r="H40" s="57">
        <v>4329503.21</v>
      </c>
      <c r="I40" s="48">
        <f>35418.6+3139675.58</f>
        <v>3175094.18</v>
      </c>
      <c r="J40" s="48">
        <v>391461.45</v>
      </c>
      <c r="K40" s="48">
        <f>47440.52+4143.33+4881.68</f>
        <v>56465.53</v>
      </c>
      <c r="L40" s="28">
        <f>+H40+I40+J40-K40</f>
        <v>7839593.3100000005</v>
      </c>
      <c r="M40" s="44">
        <f t="shared" si="11"/>
        <v>0.55625093664711234</v>
      </c>
      <c r="N40" s="30">
        <f>G40-H40</f>
        <v>3509223.7299999977</v>
      </c>
      <c r="O40" s="30">
        <f>I40-K40</f>
        <v>3118628.6500000004</v>
      </c>
      <c r="P40" s="31">
        <f>N40-O40</f>
        <v>390595.07999999728</v>
      </c>
      <c r="Q40" s="32">
        <f>+G40-L40</f>
        <v>-866.37000000290573</v>
      </c>
      <c r="R40" s="33">
        <f>+Q40+D40</f>
        <v>-2.9057218853267841E-9</v>
      </c>
      <c r="S40" s="34">
        <f>+R40-Q40</f>
        <v>866.37</v>
      </c>
      <c r="T40" s="59"/>
    </row>
    <row r="41" spans="1:20" s="49" customFormat="1" x14ac:dyDescent="0.2">
      <c r="A41" s="45" t="s">
        <v>47</v>
      </c>
      <c r="B41" s="46">
        <f>1247760.16-91610.17</f>
        <v>1156149.99</v>
      </c>
      <c r="C41" s="46"/>
      <c r="D41" s="46"/>
      <c r="E41" s="46">
        <f>1156149.99-1081677.99</f>
        <v>74472</v>
      </c>
      <c r="F41" s="44">
        <v>1</v>
      </c>
      <c r="G41" s="47">
        <f t="shared" ref="G41:G42" si="22">C41-E41</f>
        <v>-74472</v>
      </c>
      <c r="H41" s="52">
        <v>0</v>
      </c>
      <c r="I41" s="48">
        <f>(124507.34+1081677.99)</f>
        <v>1206185.33</v>
      </c>
      <c r="J41" s="48">
        <v>536506.93000000005</v>
      </c>
      <c r="K41" s="48">
        <f>1908774.43-91610.17</f>
        <v>1817164.26</v>
      </c>
      <c r="L41" s="28">
        <f t="shared" ref="L41:L42" si="23">+H41+I41+J41-K41</f>
        <v>-74471.999999999767</v>
      </c>
      <c r="M41" s="44">
        <v>1</v>
      </c>
      <c r="N41" s="30">
        <f t="shared" ref="N41:N42" si="24">G41-H41</f>
        <v>-74472</v>
      </c>
      <c r="O41" s="30">
        <f t="shared" ref="O41:O42" si="25">I41-K41</f>
        <v>-610978.92999999993</v>
      </c>
      <c r="P41" s="31">
        <f t="shared" ref="P41:P42" si="26">N41-O41</f>
        <v>536506.92999999993</v>
      </c>
      <c r="Q41" s="32">
        <f t="shared" ref="Q41:Q42" si="27">+G41-L41</f>
        <v>-2.3283064365386963E-10</v>
      </c>
      <c r="R41" s="33">
        <f t="shared" ref="R41:R42" si="28">+Q41+D41</f>
        <v>-2.3283064365386963E-10</v>
      </c>
      <c r="S41" s="34">
        <f t="shared" ref="S41:S42" si="29">+R41-Q41</f>
        <v>0</v>
      </c>
      <c r="T41" s="59"/>
    </row>
    <row r="42" spans="1:20" s="49" customFormat="1" x14ac:dyDescent="0.2">
      <c r="A42" s="45" t="s">
        <v>48</v>
      </c>
      <c r="B42" s="46">
        <v>20674876</v>
      </c>
      <c r="C42" s="46">
        <v>18607388.399999999</v>
      </c>
      <c r="D42" s="46">
        <v>175773.86</v>
      </c>
      <c r="E42" s="48">
        <f>13178018.75-13178018.75</f>
        <v>0</v>
      </c>
      <c r="F42" s="44">
        <f t="shared" ref="F42" si="30">E42/C42</f>
        <v>0</v>
      </c>
      <c r="G42" s="47">
        <f t="shared" si="22"/>
        <v>18607388.399999999</v>
      </c>
      <c r="H42" s="57">
        <v>4385880.22</v>
      </c>
      <c r="I42" s="48">
        <f>1337903.12+13178018.75</f>
        <v>14515921.870000001</v>
      </c>
      <c r="J42" s="48"/>
      <c r="K42" s="48">
        <v>118639.83</v>
      </c>
      <c r="L42" s="28">
        <f t="shared" si="23"/>
        <v>18783162.260000002</v>
      </c>
      <c r="M42" s="44">
        <f t="shared" si="11"/>
        <v>0</v>
      </c>
      <c r="N42" s="30">
        <f t="shared" si="24"/>
        <v>14221508.18</v>
      </c>
      <c r="O42" s="30">
        <f t="shared" si="25"/>
        <v>14397282.040000001</v>
      </c>
      <c r="P42" s="31">
        <f t="shared" si="26"/>
        <v>-175773.86000000127</v>
      </c>
      <c r="Q42" s="32">
        <f t="shared" si="27"/>
        <v>-175773.86000000313</v>
      </c>
      <c r="R42" s="33">
        <f t="shared" si="28"/>
        <v>-3.14321368932724E-9</v>
      </c>
      <c r="S42" s="34">
        <f t="shared" si="29"/>
        <v>175773.86</v>
      </c>
    </row>
    <row r="43" spans="1:20" s="49" customFormat="1" x14ac:dyDescent="0.2">
      <c r="A43" s="45" t="s">
        <v>49</v>
      </c>
      <c r="B43" s="46">
        <v>11041756.470000001</v>
      </c>
      <c r="C43" s="46"/>
      <c r="D43" s="46"/>
      <c r="E43" s="46">
        <f>11041756.47-11041756.47</f>
        <v>0</v>
      </c>
      <c r="F43" s="44">
        <v>1</v>
      </c>
      <c r="G43" s="47">
        <f t="shared" si="8"/>
        <v>0</v>
      </c>
      <c r="H43" s="52">
        <v>0</v>
      </c>
      <c r="I43" s="48">
        <f>(10080252.01+11041756.47)</f>
        <v>21122008.48</v>
      </c>
      <c r="J43" s="48"/>
      <c r="K43" s="48">
        <v>21122008.48</v>
      </c>
      <c r="L43" s="28">
        <f t="shared" si="9"/>
        <v>0</v>
      </c>
      <c r="M43" s="44">
        <v>1</v>
      </c>
      <c r="N43" s="30">
        <f t="shared" si="1"/>
        <v>0</v>
      </c>
      <c r="O43" s="30">
        <f t="shared" si="4"/>
        <v>0</v>
      </c>
      <c r="P43" s="31">
        <f t="shared" si="2"/>
        <v>0</v>
      </c>
      <c r="Q43" s="32">
        <f t="shared" si="3"/>
        <v>0</v>
      </c>
      <c r="R43" s="33">
        <f t="shared" si="5"/>
        <v>0</v>
      </c>
      <c r="S43" s="34">
        <f t="shared" si="6"/>
        <v>0</v>
      </c>
    </row>
    <row r="44" spans="1:20" s="49" customFormat="1" x14ac:dyDescent="0.2">
      <c r="A44" s="45" t="s">
        <v>50</v>
      </c>
      <c r="B44" s="46"/>
      <c r="C44" s="46"/>
      <c r="D44" s="46"/>
      <c r="E44" s="46">
        <v>0</v>
      </c>
      <c r="F44" s="44">
        <v>0</v>
      </c>
      <c r="G44" s="47">
        <f t="shared" si="8"/>
        <v>0</v>
      </c>
      <c r="H44" s="57">
        <v>1</v>
      </c>
      <c r="I44" s="48"/>
      <c r="J44" s="48"/>
      <c r="K44" s="48">
        <v>1</v>
      </c>
      <c r="L44" s="28">
        <f t="shared" si="9"/>
        <v>0</v>
      </c>
      <c r="M44" s="60">
        <v>0</v>
      </c>
      <c r="N44" s="30">
        <f t="shared" si="1"/>
        <v>-1</v>
      </c>
      <c r="O44" s="30">
        <f t="shared" si="4"/>
        <v>-1</v>
      </c>
      <c r="P44" s="31">
        <f t="shared" si="2"/>
        <v>0</v>
      </c>
      <c r="Q44" s="32">
        <f t="shared" si="3"/>
        <v>0</v>
      </c>
      <c r="R44" s="33">
        <f t="shared" si="5"/>
        <v>0</v>
      </c>
      <c r="S44" s="34">
        <f t="shared" si="6"/>
        <v>0</v>
      </c>
    </row>
    <row r="45" spans="1:20" s="49" customFormat="1" x14ac:dyDescent="0.2">
      <c r="A45" s="45" t="s">
        <v>51</v>
      </c>
      <c r="B45" s="46">
        <v>6488404.7999999998</v>
      </c>
      <c r="C45" s="46">
        <f>1081400.8+4325603.2</f>
        <v>5407004</v>
      </c>
      <c r="D45" s="46">
        <v>0</v>
      </c>
      <c r="E45" s="46">
        <f>3903391.82-674096.86</f>
        <v>3229294.96</v>
      </c>
      <c r="F45" s="44">
        <f>E45/C45</f>
        <v>0.597242938973228</v>
      </c>
      <c r="G45" s="47">
        <f t="shared" si="8"/>
        <v>2177709.04</v>
      </c>
      <c r="H45" s="57">
        <f>440532.76+1098628.46</f>
        <v>1539161.22</v>
      </c>
      <c r="I45" s="48"/>
      <c r="J45" s="48">
        <v>674096.86</v>
      </c>
      <c r="K45" s="48">
        <v>35549.040000000001</v>
      </c>
      <c r="L45" s="28">
        <f t="shared" si="9"/>
        <v>2177709.04</v>
      </c>
      <c r="M45" s="44">
        <f t="shared" ref="M45" si="31">E45/B45</f>
        <v>0.49770244914435674</v>
      </c>
      <c r="N45" s="30"/>
      <c r="O45" s="30"/>
      <c r="P45" s="31"/>
      <c r="Q45" s="32"/>
      <c r="R45" s="33"/>
      <c r="S45" s="34"/>
    </row>
    <row r="46" spans="1:20" s="49" customFormat="1" x14ac:dyDescent="0.2">
      <c r="A46" s="45" t="s">
        <v>52</v>
      </c>
      <c r="B46" s="55">
        <v>0</v>
      </c>
      <c r="C46" s="46">
        <v>0</v>
      </c>
      <c r="D46" s="46"/>
      <c r="E46" s="46">
        <v>0</v>
      </c>
      <c r="F46" s="44">
        <v>0</v>
      </c>
      <c r="G46" s="47">
        <f t="shared" si="8"/>
        <v>0</v>
      </c>
      <c r="H46" s="56">
        <v>391574.39</v>
      </c>
      <c r="I46" s="48"/>
      <c r="J46" s="48"/>
      <c r="K46" s="48">
        <f>378458.28+0.18+13115.93</f>
        <v>391574.39</v>
      </c>
      <c r="L46" s="28">
        <f t="shared" si="9"/>
        <v>0</v>
      </c>
      <c r="M46" s="44">
        <v>0</v>
      </c>
      <c r="N46" s="30">
        <f t="shared" si="1"/>
        <v>-391574.39</v>
      </c>
      <c r="O46" s="30">
        <f t="shared" si="4"/>
        <v>-391574.39</v>
      </c>
      <c r="P46" s="31">
        <f t="shared" si="2"/>
        <v>0</v>
      </c>
      <c r="Q46" s="32">
        <f t="shared" si="3"/>
        <v>0</v>
      </c>
      <c r="R46" s="33">
        <f t="shared" si="5"/>
        <v>0</v>
      </c>
      <c r="S46" s="34">
        <f t="shared" si="6"/>
        <v>0</v>
      </c>
    </row>
    <row r="47" spans="1:20" x14ac:dyDescent="0.2">
      <c r="A47" s="61"/>
      <c r="B47" s="62"/>
      <c r="C47" s="46"/>
      <c r="D47" s="63"/>
      <c r="E47" s="46"/>
      <c r="F47" s="44"/>
      <c r="G47" s="47"/>
      <c r="H47" s="64"/>
      <c r="I47" s="65"/>
      <c r="J47" s="65"/>
      <c r="K47" s="65"/>
      <c r="L47" s="28"/>
      <c r="M47" s="44"/>
      <c r="N47" s="66"/>
      <c r="O47" s="66"/>
      <c r="P47" s="67"/>
      <c r="Q47" s="32"/>
      <c r="R47" s="33"/>
      <c r="S47" s="23"/>
    </row>
    <row r="48" spans="1:20" ht="13.5" x14ac:dyDescent="0.25">
      <c r="A48" s="68" t="s">
        <v>53</v>
      </c>
      <c r="B48" s="69">
        <f>B14+SUM(B21:B47)</f>
        <v>188512189.19</v>
      </c>
      <c r="C48" s="69">
        <f>C14+SUM(C21:C47)</f>
        <v>137168635.41</v>
      </c>
      <c r="D48" s="69">
        <f>D14+SUM(D21:D47)</f>
        <v>463444.23</v>
      </c>
      <c r="E48" s="69">
        <f>E14+SUM(E21:E47)</f>
        <v>91497580.390000001</v>
      </c>
      <c r="F48" s="70"/>
      <c r="G48" s="69">
        <f t="shared" ref="G48:L48" si="32">G14+SUM(G21:G47)</f>
        <v>45671055.019999996</v>
      </c>
      <c r="H48" s="69">
        <f t="shared" si="32"/>
        <v>26894465.600000001</v>
      </c>
      <c r="I48" s="69">
        <f t="shared" si="32"/>
        <v>52207073.909999996</v>
      </c>
      <c r="J48" s="69">
        <f t="shared" si="32"/>
        <v>4832407.5200000005</v>
      </c>
      <c r="K48" s="69">
        <f t="shared" si="32"/>
        <v>37799447.780000001</v>
      </c>
      <c r="L48" s="69">
        <f t="shared" si="32"/>
        <v>46134499.25</v>
      </c>
      <c r="M48" s="69">
        <v>0</v>
      </c>
      <c r="N48" s="71">
        <f>SUM(N13:N13)+N14+SUM(N22:N47)</f>
        <v>18215494.799999993</v>
      </c>
      <c r="O48" s="71">
        <f>SUM(O13:O13)+O14+SUM(O22:O47)</f>
        <v>16819698.530000001</v>
      </c>
      <c r="P48" s="71">
        <f>SUM(P13:P13)+P14+SUM(P22:P47)</f>
        <v>1395796.2699999909</v>
      </c>
      <c r="Q48" s="71">
        <f>SUM(Q13:Q13)+Q14+SUM(Q22:Q47)</f>
        <v>-463444.23000001122</v>
      </c>
      <c r="R48" s="71">
        <f>SUM(R13:R13)+R14+SUM(R22:R47)</f>
        <v>208056.86999999167</v>
      </c>
      <c r="S48" s="71">
        <f>S14+SUM(S22:S47)</f>
        <v>463444.23</v>
      </c>
    </row>
    <row r="49" spans="1:13" x14ac:dyDescent="0.2">
      <c r="C49" s="18"/>
      <c r="G49" s="18"/>
      <c r="H49" s="72">
        <f>1667.9+135352.11+165.13+9960.79+160174.54+2253.4-26112.24-16.59+2623.76+853.35+107394.87</f>
        <v>394317.01999999996</v>
      </c>
      <c r="I49" s="18"/>
      <c r="J49" s="18"/>
      <c r="K49" s="18"/>
      <c r="L49" s="18"/>
    </row>
    <row r="50" spans="1:13" x14ac:dyDescent="0.2">
      <c r="C50" s="73" t="s">
        <v>54</v>
      </c>
      <c r="D50" s="73"/>
      <c r="E50" s="73"/>
      <c r="F50" s="73"/>
      <c r="G50" s="73"/>
      <c r="H50" s="73"/>
      <c r="I50" s="73"/>
      <c r="J50" s="74"/>
    </row>
    <row r="51" spans="1:13" ht="21.75" customHeight="1" x14ac:dyDescent="0.2">
      <c r="C51" s="74"/>
      <c r="D51" s="74"/>
      <c r="E51" s="74"/>
      <c r="F51" s="74"/>
      <c r="G51" s="74"/>
      <c r="H51" s="74"/>
      <c r="I51" s="74"/>
      <c r="J51" s="74"/>
    </row>
    <row r="52" spans="1:13" ht="21.75" customHeight="1" x14ac:dyDescent="0.2">
      <c r="B52" s="75" t="s">
        <v>55</v>
      </c>
      <c r="C52" s="75"/>
      <c r="D52" s="76" t="s">
        <v>56</v>
      </c>
      <c r="E52" s="77"/>
      <c r="F52" s="78"/>
      <c r="G52" s="79" t="s">
        <v>57</v>
      </c>
      <c r="H52" s="79"/>
      <c r="I52" s="80" t="s">
        <v>11</v>
      </c>
      <c r="J52" s="74"/>
    </row>
    <row r="53" spans="1:13" ht="21.75" customHeight="1" x14ac:dyDescent="0.2">
      <c r="B53" s="81" t="s">
        <v>58</v>
      </c>
      <c r="C53" s="81"/>
      <c r="D53" s="76"/>
      <c r="E53" s="77"/>
      <c r="F53" s="78"/>
      <c r="G53" s="82"/>
      <c r="H53" s="82"/>
      <c r="I53" s="83">
        <v>0</v>
      </c>
      <c r="J53" s="74"/>
    </row>
    <row r="54" spans="1:13" ht="21.75" customHeight="1" x14ac:dyDescent="0.2">
      <c r="B54" s="79" t="s">
        <v>59</v>
      </c>
      <c r="C54" s="79"/>
      <c r="D54" s="76"/>
      <c r="E54" s="77"/>
      <c r="F54" s="78"/>
      <c r="G54" s="82"/>
      <c r="H54" s="82"/>
      <c r="I54" s="83">
        <v>0</v>
      </c>
      <c r="J54" s="74"/>
    </row>
    <row r="55" spans="1:13" ht="24.75" customHeight="1" x14ac:dyDescent="0.2">
      <c r="B55" s="79" t="s">
        <v>60</v>
      </c>
      <c r="C55" s="79"/>
      <c r="D55" s="84">
        <v>13500000</v>
      </c>
      <c r="E55" s="85"/>
      <c r="F55" s="86"/>
      <c r="G55" s="82">
        <v>9701097.5600000005</v>
      </c>
      <c r="H55" s="82">
        <v>9701097.5600000005</v>
      </c>
      <c r="I55" s="83">
        <f>G55/D55</f>
        <v>0.71859981925925931</v>
      </c>
      <c r="J55" s="74"/>
    </row>
    <row r="56" spans="1:13" ht="15.75" customHeight="1" x14ac:dyDescent="0.2">
      <c r="B56" s="79" t="s">
        <v>61</v>
      </c>
      <c r="C56" s="79"/>
      <c r="D56" s="76"/>
      <c r="E56" s="77"/>
      <c r="F56" s="78"/>
      <c r="G56" s="82"/>
      <c r="H56" s="82"/>
      <c r="I56" s="83"/>
      <c r="J56" s="74"/>
    </row>
    <row r="57" spans="1:13" ht="15.75" customHeight="1" x14ac:dyDescent="0.2">
      <c r="B57" s="74"/>
      <c r="C57" s="74"/>
      <c r="D57" s="74"/>
      <c r="E57" s="74"/>
      <c r="F57" s="74"/>
      <c r="G57" s="87"/>
      <c r="H57" s="87"/>
      <c r="I57" s="88"/>
      <c r="J57" s="88"/>
    </row>
    <row r="58" spans="1:13" ht="15.75" customHeight="1" x14ac:dyDescent="0.2"/>
    <row r="59" spans="1:13" s="92" customFormat="1" ht="21" customHeight="1" x14ac:dyDescent="0.3">
      <c r="A59" s="8"/>
      <c r="B59" s="89" t="s">
        <v>62</v>
      </c>
      <c r="C59" s="89"/>
      <c r="D59" s="90"/>
      <c r="E59" s="1"/>
      <c r="F59" s="91" t="s">
        <v>63</v>
      </c>
      <c r="G59" s="91"/>
      <c r="H59" s="91"/>
      <c r="I59" s="1"/>
      <c r="J59" s="1"/>
      <c r="K59" s="91" t="s">
        <v>64</v>
      </c>
      <c r="L59" s="91"/>
      <c r="M59" s="91"/>
    </row>
    <row r="60" spans="1:13" s="92" customFormat="1" ht="21" customHeight="1" x14ac:dyDescent="0.3">
      <c r="A60" s="8"/>
      <c r="B60" s="90"/>
      <c r="C60" s="90"/>
      <c r="D60" s="90"/>
      <c r="E60" s="1"/>
      <c r="F60" s="1"/>
      <c r="G60" s="93"/>
      <c r="H60" s="93"/>
      <c r="I60" s="1"/>
      <c r="J60" s="1"/>
      <c r="K60" s="93"/>
      <c r="L60" s="93"/>
      <c r="M60" s="1"/>
    </row>
    <row r="61" spans="1:13" s="92" customFormat="1" ht="21" customHeight="1" x14ac:dyDescent="0.3">
      <c r="A61" s="8"/>
      <c r="B61" s="90"/>
      <c r="C61" s="90"/>
      <c r="D61" s="90"/>
      <c r="E61" s="1"/>
      <c r="F61" s="1"/>
      <c r="G61" s="93"/>
      <c r="H61" s="93"/>
      <c r="I61" s="1"/>
      <c r="J61" s="1"/>
      <c r="K61" s="93"/>
      <c r="L61" s="93"/>
      <c r="M61" s="1"/>
    </row>
    <row r="62" spans="1:13" s="92" customFormat="1" ht="21" customHeight="1" x14ac:dyDescent="0.3">
      <c r="A62" s="94"/>
      <c r="B62" s="95" t="s">
        <v>65</v>
      </c>
      <c r="C62" s="95"/>
      <c r="D62" s="90"/>
      <c r="E62" s="96"/>
      <c r="F62" s="97" t="s">
        <v>66</v>
      </c>
      <c r="G62" s="97"/>
      <c r="H62" s="97"/>
      <c r="I62" s="98"/>
      <c r="J62" s="98"/>
      <c r="K62" s="97" t="s">
        <v>67</v>
      </c>
      <c r="L62" s="97"/>
      <c r="M62" s="97"/>
    </row>
    <row r="63" spans="1:13" s="92" customFormat="1" ht="15.75" customHeight="1" x14ac:dyDescent="0.3">
      <c r="A63" s="94"/>
      <c r="B63" s="99" t="s">
        <v>68</v>
      </c>
      <c r="C63" s="99"/>
      <c r="D63" s="96"/>
      <c r="E63" s="99" t="s">
        <v>69</v>
      </c>
      <c r="F63" s="99"/>
      <c r="G63" s="99"/>
      <c r="H63" s="99"/>
      <c r="I63" s="99"/>
      <c r="J63" s="1"/>
      <c r="K63" s="99" t="s">
        <v>70</v>
      </c>
      <c r="L63" s="99"/>
      <c r="M63" s="99"/>
    </row>
    <row r="64" spans="1:13" ht="15.75" customHeight="1" x14ac:dyDescent="0.25">
      <c r="K64" s="100"/>
      <c r="L64" s="100"/>
      <c r="M64" s="100"/>
    </row>
    <row r="65" spans="1:13" ht="15.75" customHeight="1" x14ac:dyDescent="0.2">
      <c r="A65" s="101" t="s">
        <v>71</v>
      </c>
    </row>
    <row r="66" spans="1:13" ht="15.75" customHeight="1" x14ac:dyDescent="0.2">
      <c r="A66" s="101"/>
    </row>
    <row r="67" spans="1:13" ht="15.75" customHeight="1" x14ac:dyDescent="0.2">
      <c r="A67" s="101"/>
    </row>
    <row r="68" spans="1:13" ht="15.75" customHeight="1" x14ac:dyDescent="0.2">
      <c r="A68" s="101"/>
    </row>
    <row r="69" spans="1:13" ht="15.75" customHeight="1" x14ac:dyDescent="0.25">
      <c r="A69" s="102" t="s">
        <v>2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ht="15.75" customHeight="1" x14ac:dyDescent="0.2">
      <c r="B70" s="10"/>
      <c r="C70" s="10"/>
      <c r="D70" s="10"/>
      <c r="E70" s="10"/>
      <c r="F70" s="10"/>
      <c r="G70" s="10"/>
      <c r="H70" s="10"/>
    </row>
    <row r="71" spans="1:13" s="103" customFormat="1" ht="10.5" customHeight="1" x14ac:dyDescent="0.25">
      <c r="A71" s="2" t="s">
        <v>72</v>
      </c>
      <c r="B71" s="2"/>
      <c r="C71" s="2"/>
      <c r="D71" s="5"/>
      <c r="E71" s="2" t="s">
        <v>73</v>
      </c>
      <c r="F71" s="2"/>
      <c r="G71" s="2"/>
      <c r="H71" s="2"/>
      <c r="I71" s="2"/>
      <c r="J71" s="2"/>
      <c r="K71" s="2"/>
      <c r="L71" s="2"/>
      <c r="M71" s="2"/>
    </row>
    <row r="72" spans="1:13" ht="9.75" customHeight="1" x14ac:dyDescent="0.2">
      <c r="A72" s="104"/>
      <c r="B72" s="96"/>
      <c r="C72" s="105"/>
      <c r="D72" s="105"/>
      <c r="F72" s="96"/>
      <c r="G72" s="96"/>
      <c r="H72" s="96"/>
    </row>
    <row r="73" spans="1:13" ht="15.75" customHeight="1" x14ac:dyDescent="0.2">
      <c r="A73" s="106" t="s">
        <v>74</v>
      </c>
      <c r="B73" s="107"/>
      <c r="C73" s="107"/>
      <c r="D73" s="107"/>
      <c r="E73" s="108" t="s">
        <v>75</v>
      </c>
      <c r="F73" s="108"/>
      <c r="G73" s="108"/>
      <c r="H73" s="108"/>
      <c r="I73" s="108"/>
      <c r="J73" s="109"/>
    </row>
    <row r="74" spans="1:13" ht="15.75" customHeight="1" x14ac:dyDescent="0.2">
      <c r="A74" s="110"/>
      <c r="B74" s="110"/>
      <c r="C74" s="110"/>
      <c r="D74" s="110"/>
      <c r="E74" s="110"/>
      <c r="F74" s="111"/>
      <c r="G74" s="111"/>
    </row>
    <row r="75" spans="1:13" ht="15.75" customHeight="1" x14ac:dyDescent="0.25">
      <c r="A75" s="112" t="s">
        <v>76</v>
      </c>
      <c r="B75" s="112"/>
      <c r="C75" s="107"/>
      <c r="D75" s="107"/>
      <c r="E75" s="108" t="s">
        <v>77</v>
      </c>
      <c r="F75" s="108"/>
      <c r="G75" s="108"/>
      <c r="H75" s="108"/>
      <c r="I75" s="108"/>
      <c r="J75" s="109"/>
      <c r="K75" s="113"/>
      <c r="L75" s="113"/>
      <c r="M75" s="113"/>
    </row>
    <row r="76" spans="1:13" ht="15.75" customHeight="1" x14ac:dyDescent="0.2">
      <c r="A76" s="94"/>
      <c r="B76" s="9"/>
    </row>
    <row r="77" spans="1:13" ht="15.75" customHeight="1" x14ac:dyDescent="0.25">
      <c r="A77" s="114" t="s">
        <v>78</v>
      </c>
      <c r="B77" s="115"/>
      <c r="E77" s="116" t="s">
        <v>79</v>
      </c>
    </row>
    <row r="78" spans="1:13" ht="15.75" hidden="1" customHeight="1" x14ac:dyDescent="0.2">
      <c r="A78" s="94"/>
      <c r="B78" s="9"/>
    </row>
    <row r="79" spans="1:13" ht="15.75" customHeight="1" x14ac:dyDescent="0.25">
      <c r="A79" s="117" t="s">
        <v>80</v>
      </c>
      <c r="B79" s="115"/>
      <c r="E79" s="118" t="s">
        <v>81</v>
      </c>
      <c r="F79" s="118"/>
      <c r="G79" s="118"/>
      <c r="H79" s="118"/>
      <c r="I79" s="118"/>
      <c r="J79" s="118"/>
      <c r="K79" s="118"/>
      <c r="L79" s="118"/>
      <c r="M79" s="118"/>
    </row>
    <row r="80" spans="1:13" ht="15.75" customHeight="1" x14ac:dyDescent="0.2">
      <c r="A80" s="94"/>
      <c r="B80" s="9"/>
      <c r="E80" s="119"/>
    </row>
    <row r="81" spans="1:13" ht="15.75" x14ac:dyDescent="0.25">
      <c r="A81" s="117" t="s">
        <v>82</v>
      </c>
      <c r="B81" s="115"/>
      <c r="E81" s="120" t="s">
        <v>83</v>
      </c>
      <c r="F81" s="120"/>
      <c r="G81" s="120"/>
      <c r="H81" s="120"/>
      <c r="I81" s="120"/>
      <c r="J81" s="120"/>
      <c r="K81" s="120"/>
      <c r="L81" s="120"/>
      <c r="M81" s="120"/>
    </row>
    <row r="82" spans="1:13" ht="15.75" x14ac:dyDescent="0.25">
      <c r="A82" s="94"/>
      <c r="B82" s="9"/>
      <c r="E82" s="116"/>
    </row>
    <row r="83" spans="1:13" ht="15.75" customHeight="1" x14ac:dyDescent="0.25">
      <c r="A83" s="117" t="s">
        <v>9</v>
      </c>
      <c r="B83" s="115"/>
      <c r="E83" s="121" t="s">
        <v>84</v>
      </c>
      <c r="F83" s="121"/>
      <c r="G83" s="121"/>
      <c r="H83" s="121"/>
      <c r="I83" s="121"/>
      <c r="J83" s="121"/>
      <c r="K83" s="121"/>
      <c r="L83" s="121"/>
      <c r="M83" s="121"/>
    </row>
    <row r="84" spans="1:13" ht="15.75" customHeight="1" x14ac:dyDescent="0.25">
      <c r="A84" s="94"/>
      <c r="B84" s="9"/>
      <c r="E84" s="116"/>
    </row>
    <row r="85" spans="1:13" ht="15.75" customHeight="1" x14ac:dyDescent="0.25">
      <c r="A85" s="117" t="s">
        <v>85</v>
      </c>
      <c r="B85" s="115"/>
      <c r="E85" s="121" t="s">
        <v>86</v>
      </c>
      <c r="F85" s="121"/>
      <c r="G85" s="121"/>
      <c r="H85" s="121"/>
      <c r="I85" s="121"/>
      <c r="J85" s="121"/>
      <c r="K85" s="121"/>
      <c r="L85" s="121"/>
      <c r="M85" s="121"/>
    </row>
    <row r="86" spans="1:13" ht="15.75" customHeight="1" x14ac:dyDescent="0.2">
      <c r="A86" s="122"/>
      <c r="B86" s="111"/>
    </row>
    <row r="87" spans="1:13" ht="15.75" customHeight="1" x14ac:dyDescent="0.25">
      <c r="A87" s="123" t="s">
        <v>11</v>
      </c>
      <c r="B87" s="115"/>
      <c r="E87" s="118" t="s">
        <v>87</v>
      </c>
      <c r="F87" s="124"/>
      <c r="G87" s="124"/>
      <c r="H87" s="124"/>
      <c r="I87" s="124"/>
      <c r="J87" s="124"/>
      <c r="K87" s="124"/>
      <c r="L87" s="124"/>
      <c r="M87" s="124"/>
    </row>
    <row r="88" spans="1:13" ht="15.75" customHeight="1" x14ac:dyDescent="0.2">
      <c r="A88" s="94"/>
      <c r="B88" s="9"/>
    </row>
    <row r="89" spans="1:13" ht="5.0999999999999996" customHeight="1" x14ac:dyDescent="0.25">
      <c r="A89" s="114" t="s">
        <v>88</v>
      </c>
      <c r="B89" s="115"/>
      <c r="E89" s="116" t="s">
        <v>89</v>
      </c>
    </row>
    <row r="90" spans="1:13" ht="15.75" customHeight="1" x14ac:dyDescent="0.2">
      <c r="A90" s="94"/>
      <c r="B90" s="9"/>
    </row>
    <row r="91" spans="1:13" ht="5.0999999999999996" customHeight="1" x14ac:dyDescent="0.25">
      <c r="A91" s="125" t="s">
        <v>90</v>
      </c>
      <c r="B91" s="115"/>
      <c r="E91" s="126" t="s">
        <v>91</v>
      </c>
    </row>
    <row r="92" spans="1:13" ht="15.75" customHeight="1" x14ac:dyDescent="0.2">
      <c r="A92" s="94"/>
      <c r="B92" s="9"/>
    </row>
    <row r="93" spans="1:13" ht="5.0999999999999996" customHeight="1" x14ac:dyDescent="0.25">
      <c r="A93" s="114" t="s">
        <v>92</v>
      </c>
      <c r="B93" s="115"/>
      <c r="E93" s="116" t="s">
        <v>93</v>
      </c>
    </row>
    <row r="94" spans="1:13" ht="47.25" customHeight="1" x14ac:dyDescent="0.2">
      <c r="A94" s="94"/>
      <c r="B94" s="9"/>
    </row>
    <row r="95" spans="1:13" ht="5.0999999999999996" customHeight="1" x14ac:dyDescent="0.25">
      <c r="A95" s="114" t="s">
        <v>94</v>
      </c>
      <c r="B95" s="115"/>
      <c r="E95" s="116" t="s">
        <v>95</v>
      </c>
    </row>
    <row r="96" spans="1:13" ht="47.25" customHeight="1" x14ac:dyDescent="0.25">
      <c r="A96" s="114"/>
      <c r="B96" s="115"/>
      <c r="E96" s="116"/>
    </row>
    <row r="97" spans="1:21" ht="5.0999999999999996" customHeight="1" x14ac:dyDescent="0.25">
      <c r="A97" s="125" t="s">
        <v>96</v>
      </c>
      <c r="B97" s="115"/>
      <c r="E97" s="126" t="s">
        <v>97</v>
      </c>
    </row>
    <row r="98" spans="1:21" ht="49.5" customHeight="1" x14ac:dyDescent="0.2">
      <c r="A98" s="94"/>
      <c r="B98" s="9"/>
    </row>
    <row r="99" spans="1:21" ht="5.0999999999999996" customHeight="1" x14ac:dyDescent="0.25">
      <c r="A99" s="127" t="s">
        <v>98</v>
      </c>
      <c r="B99" s="115"/>
      <c r="E99" s="128" t="s">
        <v>99</v>
      </c>
      <c r="F99" s="129"/>
      <c r="G99" s="129"/>
      <c r="H99" s="129"/>
      <c r="I99" s="129"/>
      <c r="J99" s="129"/>
      <c r="K99" s="129"/>
      <c r="L99" s="129"/>
      <c r="M99" s="129"/>
    </row>
    <row r="100" spans="1:21" ht="49.5" customHeight="1" x14ac:dyDescent="0.2">
      <c r="A100" s="94"/>
      <c r="B100" s="9"/>
    </row>
    <row r="101" spans="1:21" ht="5.0999999999999996" customHeight="1" x14ac:dyDescent="0.25">
      <c r="A101" s="114" t="s">
        <v>100</v>
      </c>
      <c r="B101" s="115"/>
      <c r="E101" s="116" t="s">
        <v>101</v>
      </c>
    </row>
    <row r="102" spans="1:21" ht="30.75" customHeight="1" x14ac:dyDescent="0.2">
      <c r="A102" s="94"/>
      <c r="B102" s="9"/>
    </row>
    <row r="103" spans="1:21" ht="5.0999999999999996" customHeight="1" x14ac:dyDescent="0.25">
      <c r="A103" s="114" t="s">
        <v>102</v>
      </c>
      <c r="B103" s="115"/>
      <c r="E103" s="116" t="s">
        <v>103</v>
      </c>
    </row>
    <row r="104" spans="1:21" ht="15.75" customHeight="1" x14ac:dyDescent="0.2">
      <c r="A104" s="94"/>
      <c r="B104" s="9"/>
    </row>
    <row r="105" spans="1:21" ht="5.0999999999999996" customHeight="1" x14ac:dyDescent="0.25">
      <c r="A105" s="114" t="s">
        <v>104</v>
      </c>
      <c r="B105" s="115"/>
      <c r="E105" s="116" t="s">
        <v>105</v>
      </c>
    </row>
    <row r="106" spans="1:21" ht="15.75" customHeight="1" x14ac:dyDescent="0.2">
      <c r="A106" s="94"/>
      <c r="B106" s="9"/>
    </row>
    <row r="107" spans="1:21" ht="5.0999999999999996" customHeight="1" x14ac:dyDescent="0.25">
      <c r="A107" s="114" t="s">
        <v>106</v>
      </c>
      <c r="B107" s="115"/>
      <c r="E107" s="116" t="s">
        <v>107</v>
      </c>
    </row>
    <row r="108" spans="1:21" ht="15.75" customHeight="1" x14ac:dyDescent="0.2">
      <c r="A108" s="94"/>
      <c r="B108" s="9"/>
    </row>
    <row r="109" spans="1:21" ht="5.0999999999999996" customHeight="1" x14ac:dyDescent="0.25">
      <c r="A109" s="130" t="s">
        <v>18</v>
      </c>
      <c r="B109" s="115"/>
      <c r="E109" s="116" t="s">
        <v>108</v>
      </c>
    </row>
    <row r="110" spans="1:21" ht="15.75" customHeight="1" x14ac:dyDescent="0.2"/>
    <row r="111" spans="1:21" ht="5.0999999999999996" customHeight="1" x14ac:dyDescent="0.2"/>
    <row r="112" spans="1:21" s="8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8" customFormat="1" ht="5.0999999999999996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8" customFormat="1" ht="37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8" customFormat="1" ht="5.0999999999999996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8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8" customFormat="1" ht="5.0999999999999996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8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8" customFormat="1" ht="5.0999999999999996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8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8" customFormat="1" ht="5.0999999999999996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8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8" customFormat="1" ht="5.0999999999999996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8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</sheetData>
  <mergeCells count="54">
    <mergeCell ref="E79:M79"/>
    <mergeCell ref="E81:M81"/>
    <mergeCell ref="E83:M83"/>
    <mergeCell ref="E85:M85"/>
    <mergeCell ref="E87:M87"/>
    <mergeCell ref="E99:M99"/>
    <mergeCell ref="A69:M69"/>
    <mergeCell ref="A71:C71"/>
    <mergeCell ref="E71:M71"/>
    <mergeCell ref="E73:I73"/>
    <mergeCell ref="A75:B75"/>
    <mergeCell ref="E75:I75"/>
    <mergeCell ref="B62:C62"/>
    <mergeCell ref="F62:H62"/>
    <mergeCell ref="K62:M62"/>
    <mergeCell ref="B63:C63"/>
    <mergeCell ref="E63:I63"/>
    <mergeCell ref="K63:M63"/>
    <mergeCell ref="B56:C56"/>
    <mergeCell ref="D56:F56"/>
    <mergeCell ref="G56:H56"/>
    <mergeCell ref="B59:C59"/>
    <mergeCell ref="F59:H59"/>
    <mergeCell ref="K59:M59"/>
    <mergeCell ref="B54:C54"/>
    <mergeCell ref="D54:F54"/>
    <mergeCell ref="G54:H54"/>
    <mergeCell ref="B55:C55"/>
    <mergeCell ref="D55:F55"/>
    <mergeCell ref="G55:H55"/>
    <mergeCell ref="L11:L12"/>
    <mergeCell ref="C50:I50"/>
    <mergeCell ref="B52:C52"/>
    <mergeCell ref="D52:F52"/>
    <mergeCell ref="G52:H52"/>
    <mergeCell ref="B53:C53"/>
    <mergeCell ref="D53:F53"/>
    <mergeCell ref="G53:H53"/>
    <mergeCell ref="F11:F12"/>
    <mergeCell ref="G11:G12"/>
    <mergeCell ref="H11:H12"/>
    <mergeCell ref="I11:I12"/>
    <mergeCell ref="J11:J12"/>
    <mergeCell ref="K11:K12"/>
    <mergeCell ref="A4:M4"/>
    <mergeCell ref="A5:M5"/>
    <mergeCell ref="A6:M6"/>
    <mergeCell ref="C10:G10"/>
    <mergeCell ref="H10:L10"/>
    <mergeCell ref="A11:A12"/>
    <mergeCell ref="B11:B12"/>
    <mergeCell ref="C11:C12"/>
    <mergeCell ref="D11:D12"/>
    <mergeCell ref="E11:E12"/>
  </mergeCells>
  <printOptions horizontalCentered="1" verticalCentered="1"/>
  <pageMargins left="0.19685039370078741" right="0.19685039370078741" top="0.19685039370078741" bottom="0.19685039370078741" header="0" footer="0.19685039370078741"/>
  <pageSetup scale="60" orientation="landscape" r:id="rId1"/>
  <headerFooter alignWithMargins="0">
    <oddFooter>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0"/>
  <sheetViews>
    <sheetView tabSelected="1" topLeftCell="A9" workbookViewId="0">
      <pane xSplit="2" ySplit="1" topLeftCell="C10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baseColWidth="10" defaultRowHeight="12.75" x14ac:dyDescent="0.2"/>
  <cols>
    <col min="1" max="1" width="2.7109375" customWidth="1"/>
    <col min="2" max="2" width="24.5703125" customWidth="1"/>
    <col min="3" max="3" width="12.28515625" customWidth="1"/>
    <col min="4" max="4" width="10.85546875" customWidth="1"/>
    <col min="5" max="8" width="12.28515625" customWidth="1"/>
    <col min="9" max="10" width="14" customWidth="1"/>
    <col min="11" max="12" width="10.85546875" customWidth="1"/>
    <col min="13" max="14" width="11.28515625" customWidth="1"/>
    <col min="15" max="15" width="14" customWidth="1"/>
    <col min="16" max="16" width="12" customWidth="1"/>
    <col min="17" max="19" width="12.140625" customWidth="1"/>
  </cols>
  <sheetData>
    <row r="1" spans="2:19" s="134" customFormat="1" ht="11.25" x14ac:dyDescent="0.2"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2:19" s="134" customFormat="1" ht="11.25" x14ac:dyDescent="0.2">
      <c r="B2" s="135" t="s">
        <v>109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</row>
    <row r="3" spans="2:19" s="134" customFormat="1" ht="11.25" x14ac:dyDescent="0.2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2:19" s="134" customFormat="1" ht="11.25" x14ac:dyDescent="0.2">
      <c r="B4" s="135" t="s">
        <v>110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</row>
    <row r="5" spans="2:19" s="134" customFormat="1" ht="11.25" x14ac:dyDescent="0.2">
      <c r="B5" s="141"/>
      <c r="C5" s="142"/>
      <c r="D5" s="142"/>
      <c r="E5" s="142"/>
      <c r="F5" s="142"/>
      <c r="G5" s="142"/>
      <c r="H5" s="142"/>
      <c r="I5" s="143"/>
      <c r="J5" s="143"/>
      <c r="K5" s="142"/>
      <c r="L5" s="142"/>
      <c r="M5" s="143"/>
      <c r="N5" s="143"/>
      <c r="O5" s="143"/>
      <c r="P5" s="143"/>
      <c r="Q5" s="143"/>
      <c r="R5" s="143"/>
      <c r="S5" s="144"/>
    </row>
    <row r="6" spans="2:19" s="134" customFormat="1" ht="12" thickBot="1" x14ac:dyDescent="0.25">
      <c r="B6" s="145" t="s">
        <v>111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19" s="134" customFormat="1" ht="12" thickBot="1" x14ac:dyDescent="0.25"/>
    <row r="8" spans="2:19" s="134" customFormat="1" ht="13.5" customHeight="1" thickBot="1" x14ac:dyDescent="0.25">
      <c r="C8" s="148" t="s">
        <v>112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</row>
    <row r="9" spans="2:19" s="134" customFormat="1" ht="79.5" thickBot="1" x14ac:dyDescent="0.25">
      <c r="B9" s="151" t="s">
        <v>113</v>
      </c>
      <c r="C9" s="152" t="s">
        <v>114</v>
      </c>
      <c r="D9" s="153" t="s">
        <v>115</v>
      </c>
      <c r="E9" s="152" t="s">
        <v>116</v>
      </c>
      <c r="F9" s="152" t="s">
        <v>117</v>
      </c>
      <c r="G9" s="152" t="s">
        <v>118</v>
      </c>
      <c r="H9" s="153" t="s">
        <v>119</v>
      </c>
      <c r="I9" s="153" t="s">
        <v>120</v>
      </c>
      <c r="J9" s="153" t="s">
        <v>121</v>
      </c>
      <c r="K9" s="152" t="s">
        <v>122</v>
      </c>
      <c r="L9" s="152" t="s">
        <v>123</v>
      </c>
      <c r="M9" s="153" t="s">
        <v>124</v>
      </c>
      <c r="N9" s="153" t="s">
        <v>125</v>
      </c>
      <c r="O9" s="153" t="s">
        <v>126</v>
      </c>
      <c r="P9" s="152" t="s">
        <v>127</v>
      </c>
      <c r="Q9" s="152" t="s">
        <v>128</v>
      </c>
      <c r="R9" s="152" t="s">
        <v>129</v>
      </c>
      <c r="S9" s="152" t="s">
        <v>130</v>
      </c>
    </row>
    <row r="10" spans="2:19" s="134" customFormat="1" ht="12" thickBot="1" x14ac:dyDescent="0.25"/>
    <row r="11" spans="2:19" s="134" customFormat="1" ht="11.25" x14ac:dyDescent="0.2"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6"/>
      <c r="R11" s="156"/>
      <c r="S11" s="157"/>
    </row>
    <row r="12" spans="2:19" s="134" customFormat="1" ht="11.25" x14ac:dyDescent="0.2">
      <c r="B12" s="158" t="s">
        <v>131</v>
      </c>
      <c r="C12" s="159">
        <v>13116.93</v>
      </c>
      <c r="D12" s="159">
        <v>95452.92</v>
      </c>
      <c r="E12" s="159"/>
      <c r="F12" s="159">
        <v>243631.34</v>
      </c>
      <c r="G12" s="159">
        <v>8819.2000000000007</v>
      </c>
      <c r="H12" s="159"/>
      <c r="I12" s="160"/>
      <c r="J12" s="160"/>
      <c r="K12" s="160"/>
      <c r="L12" s="160"/>
      <c r="M12" s="160"/>
      <c r="N12" s="160"/>
      <c r="O12" s="160"/>
      <c r="P12" s="160"/>
      <c r="Q12" s="161"/>
      <c r="R12" s="161"/>
      <c r="S12" s="162">
        <f t="shared" ref="S12:S28" si="0">SUM(C12:R12)</f>
        <v>361020.39</v>
      </c>
    </row>
    <row r="13" spans="2:19" s="134" customFormat="1" ht="11.25" x14ac:dyDescent="0.2">
      <c r="B13" s="158" t="s">
        <v>132</v>
      </c>
      <c r="C13" s="159"/>
      <c r="D13" s="159"/>
      <c r="E13" s="159"/>
      <c r="F13" s="159">
        <f>(941687.82+616083.2)</f>
        <v>1557771.02</v>
      </c>
      <c r="G13" s="159">
        <v>2290250.96</v>
      </c>
      <c r="H13" s="159"/>
      <c r="I13" s="160"/>
      <c r="J13" s="160"/>
      <c r="K13" s="160"/>
      <c r="L13" s="160"/>
      <c r="M13" s="160"/>
      <c r="N13" s="160"/>
      <c r="O13" s="160"/>
      <c r="P13" s="160"/>
      <c r="Q13" s="161"/>
      <c r="R13" s="161"/>
      <c r="S13" s="162">
        <f t="shared" si="0"/>
        <v>3848021.98</v>
      </c>
    </row>
    <row r="14" spans="2:19" s="134" customFormat="1" ht="11.25" x14ac:dyDescent="0.2">
      <c r="B14" s="158" t="s">
        <v>133</v>
      </c>
      <c r="C14" s="163"/>
      <c r="D14" s="163"/>
      <c r="E14" s="159"/>
      <c r="F14" s="159">
        <v>5518916.9299999997</v>
      </c>
      <c r="G14" s="159"/>
      <c r="H14" s="164"/>
      <c r="I14" s="163"/>
      <c r="J14" s="163"/>
      <c r="K14" s="163"/>
      <c r="L14" s="163"/>
      <c r="M14" s="163"/>
      <c r="N14" s="163"/>
      <c r="O14" s="163"/>
      <c r="P14" s="163"/>
      <c r="Q14" s="165"/>
      <c r="R14" s="165"/>
      <c r="S14" s="162">
        <f t="shared" si="0"/>
        <v>5518916.9299999997</v>
      </c>
    </row>
    <row r="15" spans="2:19" s="134" customFormat="1" ht="11.25" x14ac:dyDescent="0.2">
      <c r="B15" s="158" t="s">
        <v>134</v>
      </c>
      <c r="C15" s="163"/>
      <c r="D15" s="163"/>
      <c r="E15" s="159"/>
      <c r="F15" s="159">
        <v>600000</v>
      </c>
      <c r="G15" s="159"/>
      <c r="H15" s="164"/>
      <c r="I15" s="163"/>
      <c r="J15" s="163"/>
      <c r="K15" s="163"/>
      <c r="L15" s="163"/>
      <c r="M15" s="163"/>
      <c r="N15" s="163"/>
      <c r="O15" s="163"/>
      <c r="P15" s="163"/>
      <c r="Q15" s="165"/>
      <c r="R15" s="165"/>
      <c r="S15" s="162">
        <f t="shared" si="0"/>
        <v>600000</v>
      </c>
    </row>
    <row r="16" spans="2:19" s="134" customFormat="1" ht="11.25" x14ac:dyDescent="0.2">
      <c r="B16" s="158" t="s">
        <v>135</v>
      </c>
      <c r="C16" s="160"/>
      <c r="D16" s="160"/>
      <c r="E16" s="159"/>
      <c r="F16" s="159"/>
      <c r="G16" s="159"/>
      <c r="H16" s="159"/>
      <c r="I16" s="160"/>
      <c r="J16" s="160"/>
      <c r="K16" s="160"/>
      <c r="L16" s="160"/>
      <c r="M16" s="160"/>
      <c r="N16" s="160"/>
      <c r="O16" s="160"/>
      <c r="P16" s="160"/>
      <c r="Q16" s="161"/>
      <c r="R16" s="161"/>
      <c r="S16" s="162">
        <f t="shared" si="0"/>
        <v>0</v>
      </c>
    </row>
    <row r="17" spans="2:21" s="134" customFormat="1" ht="11.25" x14ac:dyDescent="0.2">
      <c r="B17" s="158" t="s">
        <v>136</v>
      </c>
      <c r="C17" s="160"/>
      <c r="D17" s="160"/>
      <c r="E17" s="159"/>
      <c r="F17" s="159">
        <v>686847.03</v>
      </c>
      <c r="G17" s="159"/>
      <c r="H17" s="159"/>
      <c r="I17" s="160"/>
      <c r="J17" s="160"/>
      <c r="K17" s="160"/>
      <c r="L17" s="160"/>
      <c r="M17" s="160"/>
      <c r="N17" s="160"/>
      <c r="O17" s="160"/>
      <c r="P17" s="160"/>
      <c r="Q17" s="161"/>
      <c r="R17" s="161"/>
      <c r="S17" s="162">
        <f t="shared" si="0"/>
        <v>686847.03</v>
      </c>
    </row>
    <row r="18" spans="2:21" s="134" customFormat="1" ht="11.25" x14ac:dyDescent="0.2">
      <c r="B18" s="158" t="s">
        <v>137</v>
      </c>
      <c r="C18" s="159"/>
      <c r="D18" s="160"/>
      <c r="E18" s="159"/>
      <c r="F18" s="159"/>
      <c r="G18" s="159"/>
      <c r="H18" s="159"/>
      <c r="I18" s="160"/>
      <c r="J18" s="160"/>
      <c r="K18" s="160"/>
      <c r="L18" s="160"/>
      <c r="M18" s="160"/>
      <c r="N18" s="160"/>
      <c r="O18" s="160"/>
      <c r="P18" s="160"/>
      <c r="Q18" s="161"/>
      <c r="R18" s="161"/>
      <c r="S18" s="162">
        <f t="shared" si="0"/>
        <v>0</v>
      </c>
    </row>
    <row r="19" spans="2:21" s="134" customFormat="1" ht="11.25" x14ac:dyDescent="0.2">
      <c r="B19" s="158" t="s">
        <v>138</v>
      </c>
      <c r="C19" s="159"/>
      <c r="D19" s="160"/>
      <c r="E19" s="159"/>
      <c r="F19" s="160">
        <f>+(886287.78+944094.14)</f>
        <v>1830381.92</v>
      </c>
      <c r="G19" s="160">
        <f>770264.12+161008</f>
        <v>931272.12</v>
      </c>
      <c r="H19" s="163"/>
      <c r="I19" s="163"/>
      <c r="J19" s="163"/>
      <c r="K19" s="160"/>
      <c r="L19" s="160"/>
      <c r="M19" s="160"/>
      <c r="N19" s="160"/>
      <c r="O19" s="160"/>
      <c r="P19" s="160"/>
      <c r="Q19" s="161"/>
      <c r="R19" s="161"/>
      <c r="S19" s="162">
        <f t="shared" si="0"/>
        <v>2761654.04</v>
      </c>
    </row>
    <row r="20" spans="2:21" s="134" customFormat="1" ht="11.25" x14ac:dyDescent="0.2">
      <c r="B20" s="158" t="s">
        <v>139</v>
      </c>
      <c r="C20" s="160"/>
      <c r="D20" s="160"/>
      <c r="E20" s="160"/>
      <c r="F20" s="160"/>
      <c r="G20" s="160"/>
      <c r="H20" s="163"/>
      <c r="I20" s="163"/>
      <c r="J20" s="163"/>
      <c r="K20" s="160"/>
      <c r="L20" s="160"/>
      <c r="M20" s="163"/>
      <c r="N20" s="163"/>
      <c r="O20" s="163"/>
      <c r="P20" s="163"/>
      <c r="Q20" s="165"/>
      <c r="R20" s="165"/>
      <c r="S20" s="162">
        <f t="shared" si="0"/>
        <v>0</v>
      </c>
    </row>
    <row r="21" spans="2:21" s="134" customFormat="1" ht="11.25" x14ac:dyDescent="0.2">
      <c r="B21" s="158" t="s">
        <v>140</v>
      </c>
      <c r="C21" s="160"/>
      <c r="D21" s="160"/>
      <c r="E21" s="160"/>
      <c r="F21" s="160"/>
      <c r="G21" s="160"/>
      <c r="H21" s="163"/>
      <c r="I21" s="163"/>
      <c r="J21" s="163"/>
      <c r="K21" s="160"/>
      <c r="L21" s="160"/>
      <c r="M21" s="163"/>
      <c r="N21" s="163"/>
      <c r="O21" s="163"/>
      <c r="P21" s="163"/>
      <c r="Q21" s="165"/>
      <c r="R21" s="165"/>
      <c r="S21" s="162">
        <f t="shared" si="0"/>
        <v>0</v>
      </c>
    </row>
    <row r="22" spans="2:21" s="134" customFormat="1" ht="11.25" x14ac:dyDescent="0.2">
      <c r="B22" s="158" t="s">
        <v>141</v>
      </c>
      <c r="C22" s="160"/>
      <c r="D22" s="160"/>
      <c r="E22" s="160"/>
      <c r="F22" s="160"/>
      <c r="G22" s="160"/>
      <c r="H22" s="160"/>
      <c r="I22" s="160"/>
      <c r="J22" s="160"/>
      <c r="K22" s="159"/>
      <c r="L22" s="159"/>
      <c r="M22" s="160"/>
      <c r="N22" s="160"/>
      <c r="O22" s="160"/>
      <c r="P22" s="159"/>
      <c r="Q22" s="159"/>
      <c r="R22" s="159"/>
      <c r="S22" s="162">
        <f t="shared" si="0"/>
        <v>0</v>
      </c>
      <c r="T22" s="166"/>
      <c r="U22" s="166"/>
    </row>
    <row r="23" spans="2:21" s="134" customFormat="1" ht="11.25" x14ac:dyDescent="0.2">
      <c r="B23" s="158" t="s">
        <v>142</v>
      </c>
      <c r="C23" s="160"/>
      <c r="D23" s="160"/>
      <c r="E23" s="160"/>
      <c r="F23" s="160">
        <v>1641745.96</v>
      </c>
      <c r="G23" s="160"/>
      <c r="H23" s="160"/>
      <c r="I23" s="160"/>
      <c r="J23" s="160"/>
      <c r="K23" s="159"/>
      <c r="L23" s="159"/>
      <c r="M23" s="160"/>
      <c r="N23" s="160"/>
      <c r="O23" s="160"/>
      <c r="P23" s="159"/>
      <c r="Q23" s="159"/>
      <c r="R23" s="159"/>
      <c r="S23" s="162">
        <f t="shared" si="0"/>
        <v>1641745.96</v>
      </c>
      <c r="T23" s="166"/>
      <c r="U23" s="166"/>
    </row>
    <row r="24" spans="2:21" s="134" customFormat="1" x14ac:dyDescent="0.25">
      <c r="B24" s="158" t="s">
        <v>143</v>
      </c>
      <c r="C24" s="159">
        <f>35418.6</f>
        <v>35418.6</v>
      </c>
      <c r="D24" s="167"/>
      <c r="E24" s="160"/>
      <c r="F24" s="160">
        <v>3139675.58</v>
      </c>
      <c r="G24" s="160">
        <v>391461.45</v>
      </c>
      <c r="H24" s="163"/>
      <c r="I24" s="163"/>
      <c r="J24" s="163"/>
      <c r="K24" s="160"/>
      <c r="L24" s="160"/>
      <c r="M24" s="163"/>
      <c r="N24" s="163"/>
      <c r="O24" s="163"/>
      <c r="P24" s="163"/>
      <c r="Q24" s="165"/>
      <c r="R24" s="165"/>
      <c r="S24" s="162">
        <f t="shared" si="0"/>
        <v>3566555.6300000004</v>
      </c>
    </row>
    <row r="25" spans="2:21" s="134" customFormat="1" ht="11.25" x14ac:dyDescent="0.2">
      <c r="B25" s="158" t="s">
        <v>144</v>
      </c>
      <c r="C25" s="160"/>
      <c r="D25" s="160"/>
      <c r="E25" s="160"/>
      <c r="F25" s="160">
        <f>(124507.34+1081677.99)</f>
        <v>1206185.33</v>
      </c>
      <c r="G25" s="160">
        <v>536506.93000000005</v>
      </c>
      <c r="H25" s="163"/>
      <c r="I25" s="163"/>
      <c r="J25" s="163"/>
      <c r="K25" s="160"/>
      <c r="L25" s="160"/>
      <c r="M25" s="163"/>
      <c r="N25" s="163"/>
      <c r="O25" s="163"/>
      <c r="P25" s="163"/>
      <c r="Q25" s="165"/>
      <c r="R25" s="165"/>
      <c r="S25" s="162">
        <f t="shared" si="0"/>
        <v>1742692.2600000002</v>
      </c>
    </row>
    <row r="26" spans="2:21" s="134" customFormat="1" ht="11.25" x14ac:dyDescent="0.2">
      <c r="B26" s="158" t="s">
        <v>145</v>
      </c>
      <c r="C26" s="160"/>
      <c r="D26" s="160"/>
      <c r="E26" s="160">
        <v>1337903.1200000001</v>
      </c>
      <c r="F26" s="160">
        <v>13178018.75</v>
      </c>
      <c r="G26" s="160"/>
      <c r="H26" s="163"/>
      <c r="I26" s="163"/>
      <c r="J26" s="163"/>
      <c r="K26" s="160"/>
      <c r="L26" s="160"/>
      <c r="M26" s="163"/>
      <c r="N26" s="163"/>
      <c r="O26" s="163"/>
      <c r="P26" s="163"/>
      <c r="Q26" s="165"/>
      <c r="R26" s="165"/>
      <c r="S26" s="162">
        <f t="shared" si="0"/>
        <v>14515921.870000001</v>
      </c>
    </row>
    <row r="27" spans="2:21" s="134" customFormat="1" ht="11.25" x14ac:dyDescent="0.2">
      <c r="B27" s="158" t="s">
        <v>146</v>
      </c>
      <c r="C27" s="160"/>
      <c r="D27" s="160"/>
      <c r="E27" s="160"/>
      <c r="F27" s="160">
        <f>(10080252.01+11041756.47)</f>
        <v>21122008.48</v>
      </c>
      <c r="G27" s="160"/>
      <c r="H27" s="163"/>
      <c r="I27" s="163"/>
      <c r="J27" s="163"/>
      <c r="K27" s="160"/>
      <c r="L27" s="160"/>
      <c r="M27" s="163"/>
      <c r="N27" s="163"/>
      <c r="O27" s="163"/>
      <c r="P27" s="163"/>
      <c r="Q27" s="165"/>
      <c r="R27" s="165"/>
      <c r="S27" s="162">
        <f t="shared" si="0"/>
        <v>21122008.48</v>
      </c>
    </row>
    <row r="28" spans="2:21" s="134" customFormat="1" ht="11.25" x14ac:dyDescent="0.2">
      <c r="B28" s="158" t="s">
        <v>147</v>
      </c>
      <c r="C28" s="160"/>
      <c r="D28" s="160"/>
      <c r="E28" s="160"/>
      <c r="F28" s="160"/>
      <c r="G28" s="160">
        <v>674096.86</v>
      </c>
      <c r="H28" s="163"/>
      <c r="I28" s="163"/>
      <c r="J28" s="163"/>
      <c r="K28" s="160"/>
      <c r="L28" s="160"/>
      <c r="M28" s="163"/>
      <c r="N28" s="163"/>
      <c r="O28" s="163"/>
      <c r="P28" s="163"/>
      <c r="Q28" s="165"/>
      <c r="R28" s="165"/>
      <c r="S28" s="162">
        <f t="shared" si="0"/>
        <v>674096.86</v>
      </c>
    </row>
    <row r="29" spans="2:21" s="134" customFormat="1" ht="11.25" x14ac:dyDescent="0.2">
      <c r="B29" s="158" t="s">
        <v>148</v>
      </c>
      <c r="C29" s="160"/>
      <c r="D29" s="160"/>
      <c r="E29" s="160"/>
      <c r="F29" s="160"/>
      <c r="G29" s="160"/>
      <c r="H29" s="163"/>
      <c r="I29" s="163"/>
      <c r="J29" s="163"/>
      <c r="K29" s="160"/>
      <c r="L29" s="160"/>
      <c r="M29" s="163"/>
      <c r="N29" s="163"/>
      <c r="O29" s="163"/>
      <c r="P29" s="163"/>
      <c r="Q29" s="165"/>
      <c r="R29" s="165"/>
      <c r="S29" s="162">
        <f t="shared" ref="S29" si="1">SUM(C29:R29)</f>
        <v>0</v>
      </c>
    </row>
    <row r="30" spans="2:21" s="134" customFormat="1" ht="12" thickBot="1" x14ac:dyDescent="0.2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70"/>
      <c r="Q30" s="170"/>
      <c r="R30" s="170"/>
      <c r="S30" s="171"/>
    </row>
    <row r="31" spans="2:21" s="177" customFormat="1" ht="12" thickBot="1" x14ac:dyDescent="0.25">
      <c r="B31" s="172" t="s">
        <v>149</v>
      </c>
      <c r="C31" s="173">
        <f t="shared" ref="C31:I31" si="2">SUM(C10:C30)</f>
        <v>48535.53</v>
      </c>
      <c r="D31" s="173">
        <f t="shared" si="2"/>
        <v>95452.92</v>
      </c>
      <c r="E31" s="173">
        <f t="shared" si="2"/>
        <v>1337903.1200000001</v>
      </c>
      <c r="F31" s="173">
        <f t="shared" si="2"/>
        <v>50725182.340000004</v>
      </c>
      <c r="G31" s="173">
        <f t="shared" si="2"/>
        <v>4832407.5200000005</v>
      </c>
      <c r="H31" s="173"/>
      <c r="I31" s="173">
        <f t="shared" si="2"/>
        <v>0</v>
      </c>
      <c r="J31" s="173"/>
      <c r="K31" s="173">
        <f>SUM(K10:K30)</f>
        <v>0</v>
      </c>
      <c r="L31" s="173">
        <f>SUM(L10:L30)</f>
        <v>0</v>
      </c>
      <c r="M31" s="173"/>
      <c r="N31" s="173"/>
      <c r="O31" s="173"/>
      <c r="P31" s="174">
        <f>SUM(P10:P30)</f>
        <v>0</v>
      </c>
      <c r="Q31" s="174">
        <f>SUM(Q10:Q30)</f>
        <v>0</v>
      </c>
      <c r="R31" s="174">
        <f>SUM(R10:R30)</f>
        <v>0</v>
      </c>
      <c r="S31" s="175">
        <f>SUM(S10:S30)</f>
        <v>57039481.430000007</v>
      </c>
      <c r="T31" s="176"/>
    </row>
    <row r="32" spans="2:21" s="134" customFormat="1" ht="11.25" x14ac:dyDescent="0.2"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62"/>
    </row>
    <row r="33" spans="2:21" s="134" customFormat="1" ht="11.25" x14ac:dyDescent="0.2">
      <c r="B33" s="158" t="s">
        <v>131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>
        <v>27403.95</v>
      </c>
      <c r="M33" s="160"/>
      <c r="N33" s="160"/>
      <c r="O33" s="160"/>
      <c r="P33" s="160">
        <v>250</v>
      </c>
      <c r="Q33" s="160"/>
      <c r="R33" s="160"/>
      <c r="S33" s="162">
        <f t="shared" ref="S33:S60" si="3">SUM(C33:R33)</f>
        <v>27653.95</v>
      </c>
      <c r="T33" s="166"/>
      <c r="U33" s="166"/>
    </row>
    <row r="34" spans="2:21" s="134" customFormat="1" ht="11.25" x14ac:dyDescent="0.2">
      <c r="B34" s="158" t="s">
        <v>132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>
        <v>3924887.58</v>
      </c>
      <c r="R34" s="160">
        <v>587.6</v>
      </c>
      <c r="S34" s="162">
        <f t="shared" si="3"/>
        <v>3925475.18</v>
      </c>
      <c r="T34" s="166"/>
      <c r="U34" s="166"/>
    </row>
    <row r="35" spans="2:21" s="134" customFormat="1" ht="11.25" x14ac:dyDescent="0.2">
      <c r="B35" s="158" t="s">
        <v>133</v>
      </c>
      <c r="C35" s="160"/>
      <c r="D35" s="160"/>
      <c r="E35" s="160"/>
      <c r="F35" s="160"/>
      <c r="G35" s="160"/>
      <c r="H35" s="160"/>
      <c r="I35" s="160"/>
      <c r="J35" s="159">
        <f>5518916.93-4988176.3</f>
        <v>530740.62999999989</v>
      </c>
      <c r="K35" s="159"/>
      <c r="L35" s="160">
        <f>80959.25</f>
        <v>80959.25</v>
      </c>
      <c r="M35" s="160"/>
      <c r="N35" s="160"/>
      <c r="O35" s="160">
        <v>-6863.03</v>
      </c>
      <c r="P35" s="160"/>
      <c r="Q35" s="159"/>
      <c r="R35" s="159"/>
      <c r="S35" s="162">
        <f t="shared" si="3"/>
        <v>604836.84999999986</v>
      </c>
      <c r="T35" s="166"/>
      <c r="U35" s="166"/>
    </row>
    <row r="36" spans="2:21" s="134" customFormat="1" ht="11.25" x14ac:dyDescent="0.2">
      <c r="B36" s="158" t="s">
        <v>134</v>
      </c>
      <c r="C36" s="160"/>
      <c r="D36" s="160"/>
      <c r="E36" s="160"/>
      <c r="F36" s="160"/>
      <c r="G36" s="160"/>
      <c r="H36" s="160"/>
      <c r="I36" s="159"/>
      <c r="J36" s="159"/>
      <c r="K36" s="159"/>
      <c r="L36" s="159"/>
      <c r="M36" s="160"/>
      <c r="N36" s="160"/>
      <c r="O36" s="160"/>
      <c r="P36" s="160"/>
      <c r="Q36" s="159">
        <v>718617.76</v>
      </c>
      <c r="R36" s="159">
        <v>1650462.16</v>
      </c>
      <c r="S36" s="162">
        <f t="shared" si="3"/>
        <v>2369079.92</v>
      </c>
      <c r="T36" s="166"/>
      <c r="U36" s="166"/>
    </row>
    <row r="37" spans="2:21" s="134" customFormat="1" ht="11.25" x14ac:dyDescent="0.2">
      <c r="B37" s="158" t="s">
        <v>135</v>
      </c>
      <c r="C37" s="160"/>
      <c r="D37" s="160"/>
      <c r="E37" s="160"/>
      <c r="F37" s="160"/>
      <c r="G37" s="160"/>
      <c r="H37" s="163"/>
      <c r="I37" s="163"/>
      <c r="J37" s="163"/>
      <c r="K37" s="159"/>
      <c r="L37" s="159">
        <v>93785.54</v>
      </c>
      <c r="M37" s="160"/>
      <c r="N37" s="160"/>
      <c r="O37" s="163"/>
      <c r="P37" s="160">
        <v>2268.84</v>
      </c>
      <c r="Q37" s="160"/>
      <c r="R37" s="160"/>
      <c r="S37" s="162">
        <f t="shared" si="3"/>
        <v>96054.37999999999</v>
      </c>
      <c r="T37" s="166"/>
      <c r="U37" s="166"/>
    </row>
    <row r="38" spans="2:21" s="134" customFormat="1" ht="11.25" x14ac:dyDescent="0.2">
      <c r="B38" s="158" t="s">
        <v>136</v>
      </c>
      <c r="C38" s="160"/>
      <c r="D38" s="160"/>
      <c r="E38" s="160"/>
      <c r="F38" s="160"/>
      <c r="G38" s="160"/>
      <c r="H38" s="163"/>
      <c r="I38" s="163"/>
      <c r="J38" s="163"/>
      <c r="K38" s="159"/>
      <c r="L38" s="159"/>
      <c r="M38" s="160"/>
      <c r="N38" s="160"/>
      <c r="O38" s="163"/>
      <c r="P38" s="163"/>
      <c r="Q38" s="160">
        <v>686847.03</v>
      </c>
      <c r="R38" s="160"/>
      <c r="S38" s="162">
        <f t="shared" si="3"/>
        <v>686847.03</v>
      </c>
      <c r="T38" s="166"/>
      <c r="U38" s="166"/>
    </row>
    <row r="39" spans="2:21" s="134" customFormat="1" x14ac:dyDescent="0.25">
      <c r="B39" s="158" t="s">
        <v>137</v>
      </c>
      <c r="C39" s="167"/>
      <c r="D39" s="160"/>
      <c r="E39" s="167"/>
      <c r="F39" s="167"/>
      <c r="G39" s="167"/>
      <c r="H39" s="180"/>
      <c r="I39" s="163">
        <v>1671</v>
      </c>
      <c r="J39" s="163"/>
      <c r="K39" s="163"/>
      <c r="L39" s="163"/>
      <c r="M39" s="163">
        <v>12050.94</v>
      </c>
      <c r="N39" s="163"/>
      <c r="O39" s="163"/>
      <c r="P39" s="163"/>
      <c r="Q39" s="163"/>
      <c r="R39" s="163"/>
      <c r="S39" s="162">
        <f t="shared" si="3"/>
        <v>13721.94</v>
      </c>
      <c r="T39" s="166"/>
      <c r="U39" s="166"/>
    </row>
    <row r="40" spans="2:21" s="134" customFormat="1" x14ac:dyDescent="0.25">
      <c r="B40" s="158" t="s">
        <v>138</v>
      </c>
      <c r="C40" s="167"/>
      <c r="D40" s="160"/>
      <c r="E40" s="167"/>
      <c r="F40" s="167"/>
      <c r="G40" s="167"/>
      <c r="H40" s="180"/>
      <c r="I40" s="163"/>
      <c r="J40" s="163"/>
      <c r="K40" s="163"/>
      <c r="L40" s="163"/>
      <c r="M40" s="163"/>
      <c r="N40" s="163"/>
      <c r="O40" s="163"/>
      <c r="P40" s="163"/>
      <c r="Q40" s="163">
        <v>4289567.5</v>
      </c>
      <c r="R40" s="163">
        <v>2703.44</v>
      </c>
      <c r="S40" s="162">
        <f>SUM(C40:R40)</f>
        <v>4292270.9400000004</v>
      </c>
      <c r="T40" s="166"/>
      <c r="U40" s="166"/>
    </row>
    <row r="41" spans="2:21" s="134" customFormat="1" ht="11.25" x14ac:dyDescent="0.2">
      <c r="B41" s="158" t="s">
        <v>139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>
        <v>1898.5</v>
      </c>
      <c r="M41" s="163">
        <v>3773.59</v>
      </c>
      <c r="N41" s="163"/>
      <c r="O41" s="160"/>
      <c r="P41" s="163"/>
      <c r="Q41" s="160"/>
      <c r="R41" s="160"/>
      <c r="S41" s="162">
        <f t="shared" ref="S41" si="4">SUM(C41:R41)</f>
        <v>5672.09</v>
      </c>
      <c r="T41" s="166"/>
      <c r="U41" s="166"/>
    </row>
    <row r="42" spans="2:21" s="134" customFormat="1" ht="11.25" x14ac:dyDescent="0.2">
      <c r="B42" s="158" t="s">
        <v>140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0"/>
      <c r="P42" s="163"/>
      <c r="Q42" s="160">
        <v>38824.57</v>
      </c>
      <c r="R42" s="160"/>
      <c r="S42" s="162">
        <f>SUM(C42:R42)</f>
        <v>38824.57</v>
      </c>
      <c r="T42" s="166"/>
      <c r="U42" s="166"/>
    </row>
    <row r="43" spans="2:21" s="134" customFormat="1" ht="11.25" x14ac:dyDescent="0.2">
      <c r="B43" s="158" t="s">
        <v>150</v>
      </c>
      <c r="C43" s="163"/>
      <c r="D43" s="163"/>
      <c r="E43" s="163"/>
      <c r="F43" s="163"/>
      <c r="G43" s="163"/>
      <c r="H43" s="163"/>
      <c r="I43" s="163"/>
      <c r="J43" s="163"/>
      <c r="K43" s="160"/>
      <c r="L43" s="160"/>
      <c r="M43" s="160"/>
      <c r="N43" s="160"/>
      <c r="O43" s="163"/>
      <c r="P43" s="163"/>
      <c r="Q43" s="163"/>
      <c r="R43" s="163"/>
      <c r="S43" s="162">
        <f t="shared" ref="S43:S45" si="5">SUM(C43:R43)</f>
        <v>0</v>
      </c>
      <c r="T43" s="166"/>
      <c r="U43" s="166"/>
    </row>
    <row r="44" spans="2:21" s="134" customFormat="1" ht="11.25" x14ac:dyDescent="0.2">
      <c r="B44" s="158" t="s">
        <v>151</v>
      </c>
      <c r="C44" s="163"/>
      <c r="D44" s="163"/>
      <c r="E44" s="163"/>
      <c r="F44" s="163"/>
      <c r="G44" s="163"/>
      <c r="H44" s="163"/>
      <c r="I44" s="163"/>
      <c r="J44" s="163"/>
      <c r="K44" s="160"/>
      <c r="L44" s="160"/>
      <c r="M44" s="160"/>
      <c r="N44" s="160"/>
      <c r="O44" s="163"/>
      <c r="P44" s="163"/>
      <c r="Q44" s="163">
        <v>44513.35</v>
      </c>
      <c r="R44" s="163"/>
      <c r="S44" s="162">
        <f t="shared" si="5"/>
        <v>44513.35</v>
      </c>
      <c r="T44" s="166"/>
      <c r="U44" s="166"/>
    </row>
    <row r="45" spans="2:21" s="134" customFormat="1" ht="11.25" x14ac:dyDescent="0.2">
      <c r="B45" s="158" t="s">
        <v>152</v>
      </c>
      <c r="C45" s="163"/>
      <c r="D45" s="163"/>
      <c r="E45" s="163"/>
      <c r="F45" s="163"/>
      <c r="G45" s="163"/>
      <c r="H45" s="163"/>
      <c r="I45" s="163"/>
      <c r="J45" s="163"/>
      <c r="K45" s="160"/>
      <c r="L45" s="160"/>
      <c r="M45" s="160"/>
      <c r="N45" s="160"/>
      <c r="O45" s="163"/>
      <c r="P45" s="163"/>
      <c r="Q45" s="163"/>
      <c r="R45" s="163"/>
      <c r="S45" s="162">
        <f t="shared" si="5"/>
        <v>0</v>
      </c>
      <c r="T45" s="166"/>
      <c r="U45" s="166"/>
    </row>
    <row r="46" spans="2:21" s="134" customFormat="1" ht="11.25" x14ac:dyDescent="0.2">
      <c r="B46" s="158" t="s">
        <v>153</v>
      </c>
      <c r="C46" s="163"/>
      <c r="D46" s="163"/>
      <c r="E46" s="163"/>
      <c r="F46" s="163"/>
      <c r="G46" s="163"/>
      <c r="H46" s="163"/>
      <c r="I46" s="163"/>
      <c r="J46" s="163"/>
      <c r="K46" s="160"/>
      <c r="L46" s="160"/>
      <c r="M46" s="160"/>
      <c r="N46" s="160"/>
      <c r="O46" s="163"/>
      <c r="P46" s="163"/>
      <c r="Q46" s="163">
        <v>408768.22</v>
      </c>
      <c r="R46" s="163"/>
      <c r="S46" s="162">
        <f t="shared" si="3"/>
        <v>408768.22</v>
      </c>
      <c r="T46" s="166"/>
      <c r="U46" s="166"/>
    </row>
    <row r="47" spans="2:21" s="134" customFormat="1" ht="11.25" x14ac:dyDescent="0.2">
      <c r="B47" s="158" t="s">
        <v>154</v>
      </c>
      <c r="C47" s="163"/>
      <c r="D47" s="163"/>
      <c r="E47" s="163"/>
      <c r="F47" s="163"/>
      <c r="G47" s="163"/>
      <c r="H47" s="163"/>
      <c r="I47" s="163"/>
      <c r="J47" s="163"/>
      <c r="K47" s="160"/>
      <c r="L47" s="160"/>
      <c r="M47" s="160"/>
      <c r="N47" s="160"/>
      <c r="O47" s="163"/>
      <c r="P47" s="163"/>
      <c r="Q47" s="163"/>
      <c r="R47" s="163"/>
      <c r="S47" s="162">
        <f t="shared" si="3"/>
        <v>0</v>
      </c>
      <c r="T47" s="166"/>
      <c r="U47" s="166"/>
    </row>
    <row r="48" spans="2:21" s="134" customFormat="1" ht="11.25" x14ac:dyDescent="0.2">
      <c r="B48" s="158" t="s">
        <v>155</v>
      </c>
      <c r="C48" s="163"/>
      <c r="D48" s="163"/>
      <c r="E48" s="163"/>
      <c r="F48" s="163"/>
      <c r="G48" s="163"/>
      <c r="H48" s="163"/>
      <c r="I48" s="163"/>
      <c r="J48" s="163"/>
      <c r="K48" s="160"/>
      <c r="L48" s="160"/>
      <c r="M48" s="160"/>
      <c r="N48" s="160"/>
      <c r="O48" s="163"/>
      <c r="P48" s="163"/>
      <c r="Q48" s="163">
        <v>63853.279999999999</v>
      </c>
      <c r="R48" s="163"/>
      <c r="S48" s="162">
        <f t="shared" si="3"/>
        <v>63853.279999999999</v>
      </c>
      <c r="T48" s="166"/>
      <c r="U48" s="166"/>
    </row>
    <row r="49" spans="2:22" s="134" customFormat="1" ht="11.25" x14ac:dyDescent="0.2">
      <c r="B49" s="158" t="s">
        <v>156</v>
      </c>
      <c r="C49" s="163"/>
      <c r="D49" s="163"/>
      <c r="E49" s="163"/>
      <c r="F49" s="163"/>
      <c r="G49" s="163"/>
      <c r="H49" s="163"/>
      <c r="I49" s="163"/>
      <c r="J49" s="163"/>
      <c r="K49" s="160"/>
      <c r="L49" s="160"/>
      <c r="M49" s="160"/>
      <c r="N49" s="160"/>
      <c r="O49" s="163"/>
      <c r="P49" s="163"/>
      <c r="Q49" s="163"/>
      <c r="R49" s="163"/>
      <c r="S49" s="162">
        <f t="shared" si="3"/>
        <v>0</v>
      </c>
      <c r="T49" s="166"/>
      <c r="U49" s="166"/>
    </row>
    <row r="50" spans="2:22" s="134" customFormat="1" ht="11.25" x14ac:dyDescent="0.2">
      <c r="B50" s="158" t="s">
        <v>157</v>
      </c>
      <c r="C50" s="163"/>
      <c r="D50" s="163"/>
      <c r="E50" s="163"/>
      <c r="F50" s="163"/>
      <c r="G50" s="163"/>
      <c r="H50" s="163"/>
      <c r="I50" s="163"/>
      <c r="J50" s="163"/>
      <c r="K50" s="160"/>
      <c r="L50" s="160"/>
      <c r="M50" s="160"/>
      <c r="N50" s="160"/>
      <c r="O50" s="163"/>
      <c r="P50" s="159"/>
      <c r="Q50" s="163">
        <v>10955.17</v>
      </c>
      <c r="R50" s="163"/>
      <c r="S50" s="162">
        <f t="shared" si="3"/>
        <v>10955.17</v>
      </c>
      <c r="T50" s="166"/>
      <c r="U50" s="166"/>
    </row>
    <row r="51" spans="2:22" s="134" customFormat="1" ht="11.25" x14ac:dyDescent="0.2">
      <c r="B51" s="158" t="s">
        <v>141</v>
      </c>
      <c r="C51" s="160"/>
      <c r="D51" s="160"/>
      <c r="E51" s="160"/>
      <c r="F51" s="160"/>
      <c r="G51" s="160"/>
      <c r="H51" s="160"/>
      <c r="I51" s="160"/>
      <c r="J51" s="160"/>
      <c r="K51" s="159">
        <v>4403.2</v>
      </c>
      <c r="L51" s="159"/>
      <c r="M51" s="160"/>
      <c r="N51" s="160"/>
      <c r="O51" s="160"/>
      <c r="P51" s="159"/>
      <c r="Q51" s="159"/>
      <c r="R51" s="159"/>
      <c r="S51" s="162">
        <f>SUM(C51:R51)</f>
        <v>4403.2</v>
      </c>
      <c r="T51" s="166"/>
      <c r="U51" s="166"/>
    </row>
    <row r="52" spans="2:22" s="134" customFormat="1" ht="11.25" x14ac:dyDescent="0.2">
      <c r="B52" s="158" t="s">
        <v>142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59">
        <v>1665115.18</v>
      </c>
      <c r="R52" s="159"/>
      <c r="S52" s="162">
        <f>SUM(C52:R52)</f>
        <v>1665115.18</v>
      </c>
      <c r="T52" s="166"/>
      <c r="U52" s="166"/>
    </row>
    <row r="53" spans="2:22" s="134" customFormat="1" ht="11.25" x14ac:dyDescent="0.2">
      <c r="B53" s="158" t="s">
        <v>143</v>
      </c>
      <c r="C53" s="160"/>
      <c r="D53" s="160"/>
      <c r="E53" s="160"/>
      <c r="F53" s="160"/>
      <c r="G53" s="160"/>
      <c r="H53" s="163"/>
      <c r="I53" s="160"/>
      <c r="J53" s="163"/>
      <c r="K53" s="163"/>
      <c r="L53" s="163">
        <f>47440.52</f>
        <v>47440.52</v>
      </c>
      <c r="M53" s="163"/>
      <c r="N53" s="163"/>
      <c r="O53" s="163">
        <v>4143.33</v>
      </c>
      <c r="P53" s="163">
        <v>4881.68</v>
      </c>
      <c r="Q53" s="160"/>
      <c r="R53" s="160"/>
      <c r="S53" s="162">
        <f>SUM(C53:R53)</f>
        <v>56465.53</v>
      </c>
      <c r="T53" s="166"/>
      <c r="U53" s="166"/>
    </row>
    <row r="54" spans="2:22" s="134" customFormat="1" ht="11.25" x14ac:dyDescent="0.2">
      <c r="B54" s="158" t="s">
        <v>144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3"/>
      <c r="N54" s="163"/>
      <c r="O54" s="160"/>
      <c r="P54" s="160"/>
      <c r="Q54" s="160">
        <v>1908774.43</v>
      </c>
      <c r="R54" s="160">
        <v>-91610.17</v>
      </c>
      <c r="S54" s="162">
        <f>SUM(C54:R54)</f>
        <v>1817164.26</v>
      </c>
      <c r="T54" s="166"/>
      <c r="U54" s="166"/>
    </row>
    <row r="55" spans="2:22" s="134" customFormat="1" ht="11.25" x14ac:dyDescent="0.2">
      <c r="B55" s="158" t="s">
        <v>145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3"/>
      <c r="N55" s="163"/>
      <c r="O55" s="160">
        <v>118639.83</v>
      </c>
      <c r="P55" s="160"/>
      <c r="Q55" s="160"/>
      <c r="R55" s="160"/>
      <c r="S55" s="162">
        <f t="shared" ref="S55:S59" si="6">SUM(C55:R55)</f>
        <v>118639.83</v>
      </c>
      <c r="T55" s="166"/>
      <c r="U55" s="166"/>
    </row>
    <row r="56" spans="2:22" s="134" customFormat="1" ht="11.25" x14ac:dyDescent="0.2">
      <c r="B56" s="158" t="s">
        <v>146</v>
      </c>
      <c r="C56" s="160"/>
      <c r="D56" s="160"/>
      <c r="E56" s="160"/>
      <c r="F56" s="160"/>
      <c r="G56" s="160"/>
      <c r="H56" s="163"/>
      <c r="I56" s="163"/>
      <c r="J56" s="163"/>
      <c r="K56" s="163"/>
      <c r="L56" s="163"/>
      <c r="M56" s="163"/>
      <c r="N56" s="163"/>
      <c r="O56" s="163"/>
      <c r="P56" s="165"/>
      <c r="Q56" s="160">
        <v>21122008.48</v>
      </c>
      <c r="R56" s="160"/>
      <c r="S56" s="162">
        <f t="shared" si="6"/>
        <v>21122008.48</v>
      </c>
      <c r="T56" s="166"/>
      <c r="U56" s="166"/>
    </row>
    <row r="57" spans="2:22" s="134" customFormat="1" ht="11.25" x14ac:dyDescent="0.2">
      <c r="B57" s="158" t="s">
        <v>158</v>
      </c>
      <c r="C57" s="160"/>
      <c r="D57" s="160"/>
      <c r="E57" s="160"/>
      <c r="F57" s="160"/>
      <c r="G57" s="160"/>
      <c r="H57" s="163"/>
      <c r="I57" s="163"/>
      <c r="J57" s="163"/>
      <c r="K57" s="163"/>
      <c r="L57" s="163"/>
      <c r="M57" s="163"/>
      <c r="N57" s="163"/>
      <c r="O57" s="163"/>
      <c r="P57" s="165">
        <v>1</v>
      </c>
      <c r="Q57" s="160"/>
      <c r="R57" s="160"/>
      <c r="S57" s="162">
        <f t="shared" si="6"/>
        <v>1</v>
      </c>
      <c r="T57" s="166"/>
      <c r="U57" s="166"/>
    </row>
    <row r="58" spans="2:22" s="134" customFormat="1" ht="11.25" x14ac:dyDescent="0.2">
      <c r="B58" s="158" t="s">
        <v>147</v>
      </c>
      <c r="C58" s="160"/>
      <c r="D58" s="160"/>
      <c r="E58" s="160"/>
      <c r="F58" s="160"/>
      <c r="G58" s="160"/>
      <c r="H58" s="163"/>
      <c r="I58" s="163"/>
      <c r="J58" s="163"/>
      <c r="K58" s="163"/>
      <c r="L58" s="163"/>
      <c r="M58" s="163"/>
      <c r="N58" s="163"/>
      <c r="O58" s="163"/>
      <c r="P58" s="163">
        <v>35549.040000000001</v>
      </c>
      <c r="Q58" s="160"/>
      <c r="R58" s="160"/>
      <c r="S58" s="162">
        <f t="shared" si="6"/>
        <v>35549.040000000001</v>
      </c>
      <c r="T58" s="166"/>
      <c r="U58" s="166"/>
    </row>
    <row r="59" spans="2:22" s="134" customFormat="1" ht="11.25" x14ac:dyDescent="0.2">
      <c r="B59" s="158" t="s">
        <v>148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>
        <f>378458.28</f>
        <v>378458.28</v>
      </c>
      <c r="M59" s="163"/>
      <c r="N59" s="163">
        <v>0.18</v>
      </c>
      <c r="O59" s="165"/>
      <c r="P59" s="163">
        <v>13115.93</v>
      </c>
      <c r="Q59" s="165"/>
      <c r="R59" s="165"/>
      <c r="S59" s="181">
        <f t="shared" si="6"/>
        <v>391574.39</v>
      </c>
      <c r="T59" s="166"/>
      <c r="U59" s="166"/>
    </row>
    <row r="60" spans="2:22" s="134" customFormat="1" ht="12" thickBot="1" x14ac:dyDescent="0.25">
      <c r="B60" s="18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5"/>
      <c r="Q60" s="165"/>
      <c r="R60" s="165"/>
      <c r="S60" s="183">
        <f t="shared" si="3"/>
        <v>0</v>
      </c>
    </row>
    <row r="61" spans="2:22" s="177" customFormat="1" ht="12" thickBot="1" x14ac:dyDescent="0.25">
      <c r="B61" s="172" t="s">
        <v>149</v>
      </c>
      <c r="C61" s="173">
        <f t="shared" ref="C61:S61" si="7">SUM(C32:C60)</f>
        <v>0</v>
      </c>
      <c r="D61" s="173">
        <f t="shared" si="7"/>
        <v>0</v>
      </c>
      <c r="E61" s="173">
        <f t="shared" si="7"/>
        <v>0</v>
      </c>
      <c r="F61" s="173">
        <f t="shared" si="7"/>
        <v>0</v>
      </c>
      <c r="G61" s="173">
        <f t="shared" si="7"/>
        <v>0</v>
      </c>
      <c r="H61" s="173"/>
      <c r="I61" s="173">
        <f t="shared" si="7"/>
        <v>1671</v>
      </c>
      <c r="J61" s="173">
        <f t="shared" si="7"/>
        <v>530740.62999999989</v>
      </c>
      <c r="K61" s="173">
        <f t="shared" si="7"/>
        <v>4403.2</v>
      </c>
      <c r="L61" s="173">
        <f t="shared" si="7"/>
        <v>629946.04</v>
      </c>
      <c r="M61" s="173">
        <f t="shared" si="7"/>
        <v>15824.53</v>
      </c>
      <c r="N61" s="173">
        <f t="shared" si="7"/>
        <v>0.18</v>
      </c>
      <c r="O61" s="173">
        <f t="shared" si="7"/>
        <v>115920.13</v>
      </c>
      <c r="P61" s="173">
        <f t="shared" si="7"/>
        <v>56066.49</v>
      </c>
      <c r="Q61" s="173">
        <f t="shared" si="7"/>
        <v>34882732.549999997</v>
      </c>
      <c r="R61" s="173">
        <f t="shared" si="7"/>
        <v>1562143.03</v>
      </c>
      <c r="S61" s="175">
        <f t="shared" si="7"/>
        <v>37799447.780000001</v>
      </c>
    </row>
    <row r="62" spans="2:22" x14ac:dyDescent="0.2">
      <c r="D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</row>
    <row r="63" spans="2:22" x14ac:dyDescent="0.2">
      <c r="S63" s="184"/>
    </row>
    <row r="64" spans="2:22" x14ac:dyDescent="0.2">
      <c r="L64" s="185"/>
    </row>
    <row r="70" spans="19:19" x14ac:dyDescent="0.2">
      <c r="S70" s="184"/>
    </row>
  </sheetData>
  <mergeCells count="4">
    <mergeCell ref="B2:S2"/>
    <mergeCell ref="B4:S4"/>
    <mergeCell ref="B6:S6"/>
    <mergeCell ref="C8:S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</vt:lpstr>
      <vt:lpstr>PTSEP</vt:lpstr>
      <vt:lpstr>SEP!Área_de_impresión</vt:lpstr>
      <vt:lpstr>SEP!Títulos_a_imprimir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2020-10-05T23:27:39Z</dcterms:created>
  <dcterms:modified xsi:type="dcterms:W3CDTF">2020-10-05T23:28:13Z</dcterms:modified>
</cp:coreProperties>
</file>