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ntamargarita\Documentos\3ER TRIMESTRE 2020\1.9 OTROS\1. Cuadro Resumen de la Situación Financiera\"/>
    </mc:Choice>
  </mc:AlternateContent>
  <bookViews>
    <workbookView xWindow="0" yWindow="0" windowWidth="24000" windowHeight="9735"/>
  </bookViews>
  <sheets>
    <sheet name="AGO" sheetId="5" r:id="rId1"/>
    <sheet name="PTAGO" sheetId="6" r:id="rId2"/>
  </sheets>
  <definedNames>
    <definedName name="_xlnm.Print_Area" localSheetId="0">AGO!$A$1:$M$65</definedName>
    <definedName name="_xlnm.Print_Titles" localSheetId="0">AGO!$1:$12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5" l="1"/>
  <c r="F38" i="5"/>
  <c r="K46" i="5"/>
  <c r="L46" i="5" s="1"/>
  <c r="G46" i="5"/>
  <c r="H45" i="5"/>
  <c r="L45" i="5" s="1"/>
  <c r="E45" i="5"/>
  <c r="M45" i="5" s="1"/>
  <c r="C45" i="5"/>
  <c r="G45" i="5" s="1"/>
  <c r="L44" i="5"/>
  <c r="G44" i="5"/>
  <c r="L43" i="5"/>
  <c r="I43" i="5"/>
  <c r="E43" i="5"/>
  <c r="G43" i="5" s="1"/>
  <c r="M42" i="5"/>
  <c r="K42" i="5"/>
  <c r="I42" i="5"/>
  <c r="L42" i="5" s="1"/>
  <c r="G42" i="5"/>
  <c r="E42" i="5"/>
  <c r="F42" i="5" s="1"/>
  <c r="K41" i="5"/>
  <c r="L41" i="5" s="1"/>
  <c r="I41" i="5"/>
  <c r="G41" i="5"/>
  <c r="E41" i="5"/>
  <c r="B41" i="5"/>
  <c r="L40" i="5"/>
  <c r="K40" i="5"/>
  <c r="G40" i="5"/>
  <c r="E40" i="5"/>
  <c r="M40" i="5" s="1"/>
  <c r="L39" i="5"/>
  <c r="G39" i="5"/>
  <c r="E39" i="5"/>
  <c r="M38" i="5"/>
  <c r="L38" i="5"/>
  <c r="G38" i="5"/>
  <c r="M37" i="5"/>
  <c r="L37" i="5"/>
  <c r="G37" i="5"/>
  <c r="M36" i="5"/>
  <c r="L36" i="5"/>
  <c r="G36" i="5"/>
  <c r="F36" i="5"/>
  <c r="M35" i="5"/>
  <c r="L35" i="5"/>
  <c r="G35" i="5"/>
  <c r="M34" i="5"/>
  <c r="L34" i="5"/>
  <c r="G34" i="5"/>
  <c r="F34" i="5"/>
  <c r="M33" i="5"/>
  <c r="L33" i="5"/>
  <c r="K33" i="5"/>
  <c r="G33" i="5"/>
  <c r="M32" i="5"/>
  <c r="L32" i="5"/>
  <c r="G32" i="5"/>
  <c r="F32" i="5"/>
  <c r="M31" i="5"/>
  <c r="L31" i="5"/>
  <c r="G31" i="5"/>
  <c r="M30" i="5"/>
  <c r="L30" i="5"/>
  <c r="G30" i="5"/>
  <c r="F30" i="5"/>
  <c r="M29" i="5"/>
  <c r="L29" i="5"/>
  <c r="G29" i="5"/>
  <c r="M28" i="5"/>
  <c r="L28" i="5"/>
  <c r="G28" i="5"/>
  <c r="F28" i="5"/>
  <c r="K27" i="5"/>
  <c r="J27" i="5"/>
  <c r="I27" i="5"/>
  <c r="L27" i="5" s="1"/>
  <c r="F27" i="5"/>
  <c r="E27" i="5"/>
  <c r="G27" i="5" s="1"/>
  <c r="B27" i="5"/>
  <c r="M26" i="5"/>
  <c r="K26" i="5"/>
  <c r="L26" i="5" s="1"/>
  <c r="G26" i="5"/>
  <c r="F26" i="5"/>
  <c r="K25" i="5"/>
  <c r="L25" i="5" s="1"/>
  <c r="E25" i="5"/>
  <c r="G25" i="5" s="1"/>
  <c r="M24" i="5"/>
  <c r="L24" i="5"/>
  <c r="G24" i="5"/>
  <c r="F24" i="5"/>
  <c r="L23" i="5"/>
  <c r="K23" i="5"/>
  <c r="I23" i="5"/>
  <c r="G23" i="5"/>
  <c r="B23" i="5"/>
  <c r="M23" i="5" s="1"/>
  <c r="K22" i="5"/>
  <c r="I22" i="5"/>
  <c r="L22" i="5" s="1"/>
  <c r="E22" i="5"/>
  <c r="M22" i="5" s="1"/>
  <c r="K21" i="5"/>
  <c r="L21" i="5" s="1"/>
  <c r="I21" i="5"/>
  <c r="E21" i="5"/>
  <c r="G21" i="5" s="1"/>
  <c r="B21" i="5"/>
  <c r="M18" i="5"/>
  <c r="C18" i="5"/>
  <c r="F18" i="5" s="1"/>
  <c r="M17" i="5"/>
  <c r="F17" i="5"/>
  <c r="F16" i="5"/>
  <c r="B16" i="5"/>
  <c r="M16" i="5" s="1"/>
  <c r="M15" i="5"/>
  <c r="F15" i="5"/>
  <c r="L14" i="5"/>
  <c r="I14" i="5"/>
  <c r="H14" i="5"/>
  <c r="F14" i="5"/>
  <c r="E14" i="5"/>
  <c r="M14" i="5" s="1"/>
  <c r="D14" i="5"/>
  <c r="C14" i="5"/>
  <c r="G14" i="5" s="1"/>
  <c r="B14" i="5"/>
  <c r="R61" i="6"/>
  <c r="Q61" i="6"/>
  <c r="P61" i="6"/>
  <c r="O61" i="6"/>
  <c r="N61" i="6"/>
  <c r="M61" i="6"/>
  <c r="L61" i="6"/>
  <c r="K61" i="6"/>
  <c r="I61" i="6"/>
  <c r="G61" i="6"/>
  <c r="F61" i="6"/>
  <c r="E61" i="6"/>
  <c r="D61" i="6"/>
  <c r="C61" i="6"/>
  <c r="S60" i="6"/>
  <c r="L59" i="6"/>
  <c r="S59" i="6" s="1"/>
  <c r="S58" i="6"/>
  <c r="S57" i="6"/>
  <c r="S56" i="6"/>
  <c r="J55" i="6"/>
  <c r="S55" i="6" s="1"/>
  <c r="S54" i="6"/>
  <c r="J53" i="6"/>
  <c r="S53" i="6" s="1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J35" i="6"/>
  <c r="S35" i="6" s="1"/>
  <c r="S34" i="6"/>
  <c r="S33" i="6"/>
  <c r="R31" i="6"/>
  <c r="Q31" i="6"/>
  <c r="P31" i="6"/>
  <c r="L31" i="6"/>
  <c r="K31" i="6"/>
  <c r="I31" i="6"/>
  <c r="G31" i="6"/>
  <c r="F31" i="6"/>
  <c r="D31" i="6"/>
  <c r="C31" i="6"/>
  <c r="S29" i="6"/>
  <c r="S28" i="6"/>
  <c r="F27" i="6"/>
  <c r="S27" i="6" s="1"/>
  <c r="S26" i="6"/>
  <c r="E26" i="6"/>
  <c r="E31" i="6" s="1"/>
  <c r="F25" i="6"/>
  <c r="S25" i="6" s="1"/>
  <c r="S24" i="6"/>
  <c r="S23" i="6"/>
  <c r="S22" i="6"/>
  <c r="S21" i="6"/>
  <c r="S20" i="6"/>
  <c r="G19" i="6"/>
  <c r="F19" i="6"/>
  <c r="S19" i="6" s="1"/>
  <c r="S18" i="6"/>
  <c r="S17" i="6"/>
  <c r="S16" i="6"/>
  <c r="S15" i="6"/>
  <c r="S14" i="6"/>
  <c r="D14" i="6"/>
  <c r="F13" i="6"/>
  <c r="S13" i="6" s="1"/>
  <c r="S31" i="6" s="1"/>
  <c r="S12" i="6"/>
  <c r="C12" i="6"/>
  <c r="M25" i="5" l="1"/>
  <c r="G22" i="5"/>
  <c r="N22" i="5" s="1"/>
  <c r="P22" i="5" s="1"/>
  <c r="F40" i="5"/>
  <c r="S61" i="6"/>
  <c r="J61" i="6"/>
  <c r="I55" i="5"/>
  <c r="H49" i="5"/>
  <c r="D48" i="5"/>
  <c r="O46" i="5"/>
  <c r="N46" i="5"/>
  <c r="P46" i="5" s="1"/>
  <c r="Q46" i="5"/>
  <c r="R46" i="5" s="1"/>
  <c r="S46" i="5" s="1"/>
  <c r="O44" i="5"/>
  <c r="N44" i="5"/>
  <c r="Q44" i="5"/>
  <c r="R44" i="5" s="1"/>
  <c r="S44" i="5" s="1"/>
  <c r="O43" i="5"/>
  <c r="O42" i="5"/>
  <c r="Q42" i="5"/>
  <c r="R42" i="5" s="1"/>
  <c r="S42" i="5" s="1"/>
  <c r="N42" i="5"/>
  <c r="O39" i="5"/>
  <c r="P38" i="5"/>
  <c r="O38" i="5"/>
  <c r="N38" i="5"/>
  <c r="Q38" i="5"/>
  <c r="R38" i="5" s="1"/>
  <c r="S38" i="5" s="1"/>
  <c r="O37" i="5"/>
  <c r="N37" i="5"/>
  <c r="Q37" i="5"/>
  <c r="R37" i="5" s="1"/>
  <c r="S37" i="5" s="1"/>
  <c r="O36" i="5"/>
  <c r="N36" i="5"/>
  <c r="P36" i="5" s="1"/>
  <c r="Q35" i="5"/>
  <c r="R35" i="5" s="1"/>
  <c r="S35" i="5" s="1"/>
  <c r="O35" i="5"/>
  <c r="N35" i="5"/>
  <c r="P35" i="5" s="1"/>
  <c r="O34" i="5"/>
  <c r="N34" i="5"/>
  <c r="Q34" i="5"/>
  <c r="R34" i="5" s="1"/>
  <c r="S34" i="5" s="1"/>
  <c r="Q33" i="5"/>
  <c r="R33" i="5" s="1"/>
  <c r="S33" i="5" s="1"/>
  <c r="O33" i="5"/>
  <c r="N33" i="5"/>
  <c r="O32" i="5"/>
  <c r="N32" i="5"/>
  <c r="P32" i="5" s="1"/>
  <c r="Q32" i="5"/>
  <c r="R32" i="5" s="1"/>
  <c r="S32" i="5" s="1"/>
  <c r="O31" i="5"/>
  <c r="N31" i="5"/>
  <c r="P31" i="5" s="1"/>
  <c r="Q31" i="5"/>
  <c r="R31" i="5" s="1"/>
  <c r="S31" i="5" s="1"/>
  <c r="Q30" i="5"/>
  <c r="R30" i="5" s="1"/>
  <c r="S30" i="5" s="1"/>
  <c r="O30" i="5"/>
  <c r="N30" i="5"/>
  <c r="P30" i="5" s="1"/>
  <c r="O29" i="5"/>
  <c r="N29" i="5"/>
  <c r="Q28" i="5"/>
  <c r="R28" i="5" s="1"/>
  <c r="S28" i="5" s="1"/>
  <c r="O28" i="5"/>
  <c r="N28" i="5"/>
  <c r="P28" i="5" s="1"/>
  <c r="O27" i="5"/>
  <c r="O26" i="5"/>
  <c r="N26" i="5"/>
  <c r="P26" i="5" s="1"/>
  <c r="Q26" i="5"/>
  <c r="R26" i="5" s="1"/>
  <c r="S26" i="5" s="1"/>
  <c r="O25" i="5"/>
  <c r="Q24" i="5"/>
  <c r="R24" i="5" s="1"/>
  <c r="S24" i="5" s="1"/>
  <c r="N24" i="5"/>
  <c r="O23" i="5"/>
  <c r="N23" i="5"/>
  <c r="P23" i="5" s="1"/>
  <c r="O22" i="5"/>
  <c r="Q22" i="5"/>
  <c r="R22" i="5" s="1"/>
  <c r="S22" i="5" s="1"/>
  <c r="N21" i="5"/>
  <c r="Q21" i="5"/>
  <c r="R21" i="5" s="1"/>
  <c r="S21" i="5" s="1"/>
  <c r="Q20" i="5"/>
  <c r="R20" i="5" s="1"/>
  <c r="S20" i="5" s="1"/>
  <c r="O20" i="5"/>
  <c r="N20" i="5"/>
  <c r="P20" i="5" s="1"/>
  <c r="Q19" i="5"/>
  <c r="R19" i="5" s="1"/>
  <c r="S19" i="5" s="1"/>
  <c r="O19" i="5"/>
  <c r="N19" i="5"/>
  <c r="P19" i="5" s="1"/>
  <c r="Q18" i="5"/>
  <c r="R18" i="5" s="1"/>
  <c r="S18" i="5" s="1"/>
  <c r="O18" i="5"/>
  <c r="N18" i="5"/>
  <c r="P18" i="5" s="1"/>
  <c r="Q17" i="5"/>
  <c r="R17" i="5" s="1"/>
  <c r="S17" i="5" s="1"/>
  <c r="O17" i="5"/>
  <c r="N17" i="5"/>
  <c r="Q16" i="5"/>
  <c r="R16" i="5" s="1"/>
  <c r="S16" i="5" s="1"/>
  <c r="O16" i="5"/>
  <c r="N16" i="5"/>
  <c r="Q15" i="5"/>
  <c r="R15" i="5" s="1"/>
  <c r="O15" i="5"/>
  <c r="N15" i="5"/>
  <c r="P15" i="5" s="1"/>
  <c r="K48" i="5"/>
  <c r="O14" i="5"/>
  <c r="H48" i="5"/>
  <c r="C48" i="5"/>
  <c r="P17" i="5" l="1"/>
  <c r="P16" i="5"/>
  <c r="P42" i="5"/>
  <c r="P29" i="5"/>
  <c r="P33" i="5"/>
  <c r="P34" i="5"/>
  <c r="P37" i="5"/>
  <c r="P44" i="5"/>
  <c r="N39" i="5"/>
  <c r="P39" i="5" s="1"/>
  <c r="Q39" i="5"/>
  <c r="R39" i="5" s="1"/>
  <c r="S39" i="5" s="1"/>
  <c r="Q41" i="5"/>
  <c r="R41" i="5" s="1"/>
  <c r="S41" i="5" s="1"/>
  <c r="Q43" i="5"/>
  <c r="R43" i="5" s="1"/>
  <c r="S43" i="5" s="1"/>
  <c r="N43" i="5"/>
  <c r="P43" i="5" s="1"/>
  <c r="S15" i="5"/>
  <c r="S14" i="5" s="1"/>
  <c r="R14" i="5"/>
  <c r="N27" i="5"/>
  <c r="P27" i="5" s="1"/>
  <c r="Q27" i="5"/>
  <c r="R27" i="5" s="1"/>
  <c r="S27" i="5" s="1"/>
  <c r="N14" i="5"/>
  <c r="Q14" i="5"/>
  <c r="N25" i="5"/>
  <c r="P25" i="5" s="1"/>
  <c r="N41" i="5"/>
  <c r="P41" i="5" s="1"/>
  <c r="I48" i="5"/>
  <c r="O21" i="5"/>
  <c r="P21" i="5" s="1"/>
  <c r="Q23" i="5"/>
  <c r="R23" i="5" s="1"/>
  <c r="S23" i="5" s="1"/>
  <c r="O40" i="5"/>
  <c r="E48" i="5"/>
  <c r="J48" i="5"/>
  <c r="O24" i="5"/>
  <c r="P24" i="5" s="1"/>
  <c r="L48" i="5"/>
  <c r="Q29" i="5"/>
  <c r="R29" i="5" s="1"/>
  <c r="S29" i="5" s="1"/>
  <c r="Q36" i="5"/>
  <c r="R36" i="5" s="1"/>
  <c r="S36" i="5" s="1"/>
  <c r="O41" i="5"/>
  <c r="Q40" i="5" l="1"/>
  <c r="R40" i="5" s="1"/>
  <c r="S40" i="5" s="1"/>
  <c r="N40" i="5"/>
  <c r="P40" i="5" s="1"/>
  <c r="N48" i="5"/>
  <c r="P14" i="5"/>
  <c r="P48" i="5" s="1"/>
  <c r="Q25" i="5"/>
  <c r="R25" i="5" s="1"/>
  <c r="S25" i="5" s="1"/>
  <c r="O48" i="5"/>
  <c r="S48" i="5"/>
  <c r="S13" i="5"/>
  <c r="B48" i="5"/>
  <c r="G48" i="5"/>
  <c r="Q48" i="5" l="1"/>
  <c r="R48" i="5"/>
</calcChain>
</file>

<file path=xl/sharedStrings.xml><?xml version="1.0" encoding="utf-8"?>
<sst xmlns="http://schemas.openxmlformats.org/spreadsheetml/2006/main" count="183" uniqueCount="159">
  <si>
    <t>MUNICIPIO DE: ACTOPAN, HGO.</t>
  </si>
  <si>
    <t>CUADRO RESUMEN DE LA SITUACIÓN FINANCIERA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</si>
  <si>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</si>
  <si>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CUENTAS DE RESULTADOS</t>
  </si>
  <si>
    <t>CUENTAS DE BALANCE</t>
  </si>
  <si>
    <t>FUENTE DE FINANCIAMIENTO</t>
  </si>
  <si>
    <t>APROBADO / MODIFICADO ANUAL</t>
  </si>
  <si>
    <t>INGRESOS Y OTROS BENEFICIOS ACUMULADOS</t>
  </si>
  <si>
    <t>INTERESES GENERADOS ACUMULADOS</t>
  </si>
  <si>
    <t>GASTOS Y OTRAS PÉRDIDAS ACUMULADOS</t>
  </si>
  <si>
    <t>%</t>
  </si>
  <si>
    <t>POR EROGAR
(D)</t>
  </si>
  <si>
    <t>SALDOS EN CAJA Y BANCOS
(A)</t>
  </si>
  <si>
    <t>° DEUDORAS DE ACTIVO
(B)</t>
  </si>
  <si>
    <t>° DEUDORAS DE ACTIVO (INVERSION)
(B)</t>
  </si>
  <si>
    <t xml:space="preserve">° ACREEDORAS DE PASIVO
( C ) </t>
  </si>
  <si>
    <t>DIFERENCIA
A+B-C = D</t>
  </si>
  <si>
    <t>AVANCE %</t>
  </si>
  <si>
    <t xml:space="preserve">FIN. </t>
  </si>
  <si>
    <t>ING. PROPIOS 2020</t>
  </si>
  <si>
    <t>Impuestos</t>
  </si>
  <si>
    <t>Derechos</t>
  </si>
  <si>
    <t>Aprovechamientos</t>
  </si>
  <si>
    <t>Productos</t>
  </si>
  <si>
    <t>Ingresos por Ventas</t>
  </si>
  <si>
    <t xml:space="preserve">otros </t>
  </si>
  <si>
    <t>ING. PROPIOS 2019</t>
  </si>
  <si>
    <t xml:space="preserve">Fondo General de Participaciones 2020  </t>
  </si>
  <si>
    <t>Fondo General de Participaciones 2019</t>
  </si>
  <si>
    <t>Fondo de Fomento Municipal 2020</t>
  </si>
  <si>
    <t>Fondo de Fomento Municipal 2019</t>
  </si>
  <si>
    <t>ISR Enterado 2020</t>
  </si>
  <si>
    <t>ISR Enterado 2019</t>
  </si>
  <si>
    <t>Fondo de Fiscalización y Recaudación 2020</t>
  </si>
  <si>
    <t>Fondo de Fiscalización y Recaudación 2019</t>
  </si>
  <si>
    <t>Incentivo a la Venta Final de Gasolina 2020</t>
  </si>
  <si>
    <t>Incentivo a la Venta Final de Gasolina 2019</t>
  </si>
  <si>
    <t>Impuesto Esp. Sobre Prod. Y Serv. (TABACOS) 2020</t>
  </si>
  <si>
    <t>Impuesto Esp. Sobre Prod. Y Serv. (TABACOS) 2019</t>
  </si>
  <si>
    <t>Impuesto Sobre Automoviles Nuevos 2020</t>
  </si>
  <si>
    <t>Impuesto Sobre Automoviles Nuevos 2019</t>
  </si>
  <si>
    <t>Compensación de Impuesto Sobre Automoviles Nuevos 2020</t>
  </si>
  <si>
    <t>Compensación de Impuesto Sobre Automoviles Nuevos 2019</t>
  </si>
  <si>
    <t>FEIEF 2020</t>
  </si>
  <si>
    <t>FEIEF 2019</t>
  </si>
  <si>
    <t>FORTAMUN-DF 2020</t>
  </si>
  <si>
    <t>FORTAMUN-DF 2019</t>
  </si>
  <si>
    <t>F.I.S.M. 2020</t>
  </si>
  <si>
    <t>F.I.S.M. 2019</t>
  </si>
  <si>
    <t>PRODDER 2020</t>
  </si>
  <si>
    <t>FORTASEG 2020</t>
  </si>
  <si>
    <t>Impuestos 2020</t>
  </si>
  <si>
    <t>TOTALES:</t>
  </si>
  <si>
    <t>I  R  R  E  D  U  C  T  I  B  L  E  S</t>
  </si>
  <si>
    <t>CONCEPTO</t>
  </si>
  <si>
    <t>PRESUPUESTO</t>
  </si>
  <si>
    <t>ACUMULADO</t>
  </si>
  <si>
    <t xml:space="preserve"> EJEMPLO:</t>
  </si>
  <si>
    <t>C.N.A.</t>
  </si>
  <si>
    <t>LUZ</t>
  </si>
  <si>
    <t>CLORACIÓN</t>
  </si>
  <si>
    <t>ELABORÓ:</t>
  </si>
  <si>
    <t>REVISÓ Y AUTORIZÓ:</t>
  </si>
  <si>
    <t>REVISÓ:</t>
  </si>
  <si>
    <t>L.C. GILBERTO SANTILLAN ROA</t>
  </si>
  <si>
    <t>LIC. HECTOR CRUZ OLGUIN</t>
  </si>
  <si>
    <t>C. MARIA GUADALUPE URIBE MORENO</t>
  </si>
  <si>
    <t>TESORERO MUNICIPAL</t>
  </si>
  <si>
    <t>PRESIDENTE MUNICIPAL</t>
  </si>
  <si>
    <t>SINDICO MUNICIPAL</t>
  </si>
  <si>
    <t>Formato : FR-01</t>
  </si>
  <si>
    <t>REFERENCIA</t>
  </si>
  <si>
    <t>DESCRIPCIÓN</t>
  </si>
  <si>
    <t>LOGOTIPO:</t>
  </si>
  <si>
    <t>Insertar el logotipo representativo del Municipio.</t>
  </si>
  <si>
    <t>MUNICIPIO DE:</t>
  </si>
  <si>
    <t>Especificar el nombre del Municipio.</t>
  </si>
  <si>
    <t>FUENTE DE FINANCIAMIENTO:</t>
  </si>
  <si>
    <t>Nombre de los fondos y ejercicio que maneja el sujeto de revisión.</t>
  </si>
  <si>
    <t>APROBADO / MODIFICADO ANUAL:</t>
  </si>
  <si>
    <t>Refleja las asignaciones presupuestarias anuales según lo establecido en el  Presupuesto de Egresos y sus anexos, o bien, la asignación presupuestaria que resulta de incorporar, en su caso, las adecuaciones presupuestarias al presupuesto aprobado.</t>
  </si>
  <si>
    <t>INGRESOS Y OTROS BENEFICIOS ACUMULADOS:</t>
  </si>
  <si>
    <t>Representa el importe de los ingresos y otros beneficios del ente público provenientes de los ingresos de gestión, participaciones, aportaciones, transferencias, asignaciones, subsidios y otras ayudas y otros ingresos.</t>
  </si>
  <si>
    <t>Representa el importe de los rendimientos financieros y/o intereses bancarios generados por el manejo de las cuentas bancarias de los de los ingresos de gestión, participaciones, aportaciones, transferencias, asignaciones, subsidios y otras ayudas y otros ingresos.</t>
  </si>
  <si>
    <t>GASTOS Y OTRAS PÉRDIDAS ACUMULADOS:</t>
  </si>
  <si>
    <t>Representa el importe de los gastos y otras pérdidas del ente público, incurridos por gastos de funcionamiento, intereses, transferencias, participaciones y aportaciones otorgadas, otras pérdidas de la gestión y extraordinarias, entre otras.</t>
  </si>
  <si>
    <t>Representa el porcentaje de la aplicación de los ingresos, otros bneficios acumulados e intereses generados, y se calcula dividiendo los gastos y otras pérdidas entre los ingresos (mas intereses).</t>
  </si>
  <si>
    <t>POR EROGAR:</t>
  </si>
  <si>
    <t>Importe de ingresos y otros beneficios pendientes de erogar.</t>
  </si>
  <si>
    <t>SALDOS EN CAJA Y BANCOS:</t>
  </si>
  <si>
    <t>Importe reflejado en caja y bancos al mes que se reporta.</t>
  </si>
  <si>
    <t>DEUDORAS DE ACTIVO:</t>
  </si>
  <si>
    <t>Sumatoria de las cuentas deudoras de cada fuente de financiamiento.</t>
  </si>
  <si>
    <t>ACREEDORAS DE PASIVO:</t>
  </si>
  <si>
    <t>Sumatoria de las cuentas acreedoras de cada fuente de financiamiento.</t>
  </si>
  <si>
    <t>DIFERENCIA:</t>
  </si>
  <si>
    <t>Sumatoria de las cuentas de Activo menos Pasivo igual a Recursos por Erogar.</t>
  </si>
  <si>
    <t>AVANCE %:</t>
  </si>
  <si>
    <t>Representa el porcentaje de la aplicación de recursos respecto al presupuesto aprobado/modificado, y se calcula dividiendo los gastos y otras pérdidas entre el presupuesto aprobado/modificado anual.</t>
  </si>
  <si>
    <t>IRREDUCTIBLES:</t>
  </si>
  <si>
    <t>Gastos que el Municipio debe hacer de manera mensual.</t>
  </si>
  <si>
    <t>CONCEPTO:</t>
  </si>
  <si>
    <t>Nombre de la cuenta.</t>
  </si>
  <si>
    <t>PRESUPUESTO:</t>
  </si>
  <si>
    <t>Importe total presupuestado para cada concepto.</t>
  </si>
  <si>
    <t>ACUMULADO:</t>
  </si>
  <si>
    <t>Importe total ejercido al mes que se reporta.</t>
  </si>
  <si>
    <t>Porcentaje reflejado entre lo presupuestado y lo acumulado, y se calcula dividiendo el acumulado entre el presupuesto</t>
  </si>
  <si>
    <t>MUNICIPIO DE ACTOPAN</t>
  </si>
  <si>
    <t>HOJA DE TRABAJO  CUADRO RESUMEN DE LA SITUACION FINANCIERA</t>
  </si>
  <si>
    <t>NOMBRE DE LA CUENTA</t>
  </si>
  <si>
    <t>FONDO</t>
  </si>
  <si>
    <t>DEUDORES DIVERSOS POR COBRAR A CORTO PLAZO</t>
  </si>
  <si>
    <t>DEUDORES POR ANTICIPOS DE LA TESORERIA A CORTO PLAZO</t>
  </si>
  <si>
    <t>ANTICIPO A CONTRATISTAS OBRAS PUBLICAS A CORTO PLAZO</t>
  </si>
  <si>
    <t>CONSTRUCCIONES EN PROCESO EN BIENES DE DOMINIO PUBLICO</t>
  </si>
  <si>
    <t>INVERSION</t>
  </si>
  <si>
    <t>PROVEEDORES POR PAGAR A CORTO PLAZO</t>
  </si>
  <si>
    <t>CONTRATISTAS POR OBRAS PUBLICAS POR PAGAR A CORTO PLAZO</t>
  </si>
  <si>
    <t>TRANSFERENCIAS OTORGADAS POR PAGAR A CORTO PLAZO</t>
  </si>
  <si>
    <t>ISR SALARIOS</t>
  </si>
  <si>
    <t>ISR ARRENDAMIENTO</t>
  </si>
  <si>
    <t>RETENCIONES DE OBRA</t>
  </si>
  <si>
    <t>OTRAS CUENTAS POR PAGARA A CORTO PLAZO</t>
  </si>
  <si>
    <t>RESULTADO DE EJERCICIOS ANTERIORES 2019</t>
  </si>
  <si>
    <t>AJUSTES DE RESULTADO 2019</t>
  </si>
  <si>
    <t>TOTALES</t>
  </si>
  <si>
    <t xml:space="preserve">   REPO 2020</t>
  </si>
  <si>
    <t xml:space="preserve">   REPO 2019</t>
  </si>
  <si>
    <t xml:space="preserve">   FONDO GRAL PARTIC 2020</t>
  </si>
  <si>
    <t xml:space="preserve">   FONDO GRAL PARTIC 2019</t>
  </si>
  <si>
    <t xml:space="preserve">   FONDO DE FOM MPAL 2020</t>
  </si>
  <si>
    <t xml:space="preserve">   FONDO DE FOM MPAL 2019</t>
  </si>
  <si>
    <t xml:space="preserve">   ISR ENTERADO 2020</t>
  </si>
  <si>
    <t xml:space="preserve">   ISR ENTERADO 2019</t>
  </si>
  <si>
    <t xml:space="preserve">   FISCALIZACION 2020</t>
  </si>
  <si>
    <t xml:space="preserve">   FISCALIZACION 2019</t>
  </si>
  <si>
    <t xml:space="preserve">   FEIEF 2020</t>
  </si>
  <si>
    <t xml:space="preserve">   FEIEF 2019</t>
  </si>
  <si>
    <t xml:space="preserve">   FORTAMUN 2020</t>
  </si>
  <si>
    <t xml:space="preserve">   FORTAMUN 2019</t>
  </si>
  <si>
    <t xml:space="preserve">   FAISM 2020</t>
  </si>
  <si>
    <t xml:space="preserve">   FAISM 2019</t>
  </si>
  <si>
    <t xml:space="preserve">   IMPUESTOS 2020</t>
  </si>
  <si>
    <t>TOTAL</t>
  </si>
  <si>
    <t xml:space="preserve">   IVF DE GASOLINA 2020</t>
  </si>
  <si>
    <t xml:space="preserve">   IVF DE GASOLINA 2019</t>
  </si>
  <si>
    <t xml:space="preserve">   IEPS TABACOS 2020</t>
  </si>
  <si>
    <t xml:space="preserve">   IEPS TABACOS 2019</t>
  </si>
  <si>
    <t xml:space="preserve">   ISAN 2020</t>
  </si>
  <si>
    <t xml:space="preserve">   ISAN 2019</t>
  </si>
  <si>
    <t xml:space="preserve">   CISAN 2020</t>
  </si>
  <si>
    <t xml:space="preserve">   CISAN 2019</t>
  </si>
  <si>
    <t xml:space="preserve">   PRODDER 2020</t>
  </si>
  <si>
    <t xml:space="preserve">   FORTASEG 2020</t>
  </si>
  <si>
    <t>SUELDOS POR PAGAR</t>
  </si>
  <si>
    <t>INTEGRACION CUENTAS AL 31 DE AGOSTO DEL 2020</t>
  </si>
  <si>
    <t>ISR HONORARIOS</t>
  </si>
  <si>
    <t>AL 31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</si>
</sst>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0_ ;[Red]\-#,##0.00\ "/>
    <numFmt numFmtId="166" formatCode="#,##0.00;[Red]#,##0.00"/>
  </numFmts>
  <fonts count="20" x14ac:knownFonts="1">
    <font>
      <sz val="10"/>
      <name val="Arial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8"/>
      <name val="Arial Narrow"/>
      <family val="2"/>
    </font>
    <font>
      <sz val="10"/>
      <color theme="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8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5" fillId="2" borderId="0" xfId="0" applyFont="1" applyFill="1"/>
    <xf numFmtId="0" fontId="1" fillId="2" borderId="0" xfId="0" applyFont="1" applyFill="1" applyBorder="1"/>
    <xf numFmtId="0" fontId="1" fillId="4" borderId="0" xfId="0" applyFont="1" applyFill="1"/>
    <xf numFmtId="0" fontId="5" fillId="3" borderId="2" xfId="0" applyFont="1" applyFill="1" applyBorder="1" applyAlignment="1">
      <alignment horizontal="center"/>
    </xf>
    <xf numFmtId="4" fontId="1" fillId="2" borderId="0" xfId="0" applyNumberFormat="1" applyFont="1" applyFill="1"/>
    <xf numFmtId="164" fontId="1" fillId="2" borderId="0" xfId="0" applyNumberFormat="1" applyFont="1" applyFill="1"/>
    <xf numFmtId="0" fontId="5" fillId="3" borderId="2" xfId="0" applyFont="1" applyFill="1" applyBorder="1" applyAlignment="1">
      <alignment horizontal="center" vertical="center"/>
    </xf>
    <xf numFmtId="165" fontId="1" fillId="0" borderId="0" xfId="0" applyNumberFormat="1" applyFont="1" applyFill="1"/>
    <xf numFmtId="43" fontId="1" fillId="2" borderId="0" xfId="0" applyNumberFormat="1" applyFont="1" applyFill="1"/>
    <xf numFmtId="0" fontId="5" fillId="0" borderId="4" xfId="3" applyFont="1" applyFill="1" applyBorder="1" applyAlignment="1">
      <alignment vertical="center" wrapText="1"/>
    </xf>
    <xf numFmtId="164" fontId="1" fillId="0" borderId="2" xfId="1" applyFont="1" applyFill="1" applyBorder="1" applyAlignment="1">
      <alignment horizontal="center" wrapText="1"/>
    </xf>
    <xf numFmtId="164" fontId="1" fillId="0" borderId="2" xfId="1" applyFont="1" applyFill="1" applyBorder="1" applyAlignment="1">
      <alignment horizontal="center" vertical="center" wrapText="1"/>
    </xf>
    <xf numFmtId="164" fontId="1" fillId="0" borderId="4" xfId="1" applyFont="1" applyFill="1" applyBorder="1" applyAlignment="1">
      <alignment horizontal="center" vertical="center" wrapText="1"/>
    </xf>
    <xf numFmtId="165" fontId="1" fillId="0" borderId="2" xfId="3" applyNumberFormat="1" applyFont="1" applyBorder="1"/>
    <xf numFmtId="0" fontId="5" fillId="0" borderId="2" xfId="3" applyFont="1" applyFill="1" applyBorder="1" applyAlignment="1">
      <alignment horizontal="center" vertical="center"/>
    </xf>
    <xf numFmtId="43" fontId="7" fillId="0" borderId="0" xfId="3" applyNumberFormat="1" applyFont="1"/>
    <xf numFmtId="164" fontId="7" fillId="0" borderId="0" xfId="3" applyNumberFormat="1" applyFont="1"/>
    <xf numFmtId="164" fontId="7" fillId="0" borderId="0" xfId="1" applyFont="1"/>
    <xf numFmtId="164" fontId="1" fillId="2" borderId="0" xfId="1" applyFont="1" applyFill="1"/>
    <xf numFmtId="43" fontId="1" fillId="2" borderId="0" xfId="3" applyNumberFormat="1" applyFont="1" applyFill="1"/>
    <xf numFmtId="4" fontId="1" fillId="0" borderId="0" xfId="0" applyNumberFormat="1" applyFont="1" applyFill="1"/>
    <xf numFmtId="0" fontId="1" fillId="2" borderId="0" xfId="3" applyFont="1" applyFill="1"/>
    <xf numFmtId="0" fontId="5" fillId="5" borderId="2" xfId="3" applyFont="1" applyFill="1" applyBorder="1" applyAlignment="1">
      <alignment horizontal="left" vertical="center" wrapText="1"/>
    </xf>
    <xf numFmtId="4" fontId="5" fillId="2" borderId="2" xfId="3" applyNumberFormat="1" applyFont="1" applyFill="1" applyBorder="1"/>
    <xf numFmtId="9" fontId="5" fillId="2" borderId="2" xfId="3" applyNumberFormat="1" applyFont="1" applyFill="1" applyBorder="1"/>
    <xf numFmtId="165" fontId="5" fillId="2" borderId="2" xfId="3" applyNumberFormat="1" applyFont="1" applyFill="1" applyBorder="1"/>
    <xf numFmtId="164" fontId="8" fillId="0" borderId="2" xfId="1" applyFont="1" applyFill="1" applyBorder="1" applyAlignment="1">
      <alignment horizontal="right"/>
    </xf>
    <xf numFmtId="165" fontId="8" fillId="2" borderId="2" xfId="3" applyNumberFormat="1" applyFont="1" applyFill="1" applyBorder="1"/>
    <xf numFmtId="164" fontId="8" fillId="2" borderId="2" xfId="1" applyFont="1" applyFill="1" applyBorder="1" applyAlignment="1">
      <alignment horizontal="right"/>
    </xf>
    <xf numFmtId="9" fontId="1" fillId="2" borderId="2" xfId="3" applyNumberFormat="1" applyFont="1" applyFill="1" applyBorder="1"/>
    <xf numFmtId="0" fontId="5" fillId="0" borderId="2" xfId="0" applyFont="1" applyFill="1" applyBorder="1" applyAlignment="1">
      <alignment horizontal="left" vertical="center" wrapText="1"/>
    </xf>
    <xf numFmtId="4" fontId="1" fillId="2" borderId="2" xfId="3" applyNumberFormat="1" applyFont="1" applyFill="1" applyBorder="1"/>
    <xf numFmtId="165" fontId="1" fillId="2" borderId="2" xfId="3" applyNumberFormat="1" applyFont="1" applyFill="1" applyBorder="1"/>
    <xf numFmtId="165" fontId="9" fillId="2" borderId="2" xfId="3" applyNumberFormat="1" applyFont="1" applyFill="1" applyBorder="1"/>
    <xf numFmtId="0" fontId="1" fillId="0" borderId="0" xfId="0" applyFont="1" applyFill="1"/>
    <xf numFmtId="4" fontId="1" fillId="4" borderId="2" xfId="3" applyNumberFormat="1" applyFont="1" applyFill="1" applyBorder="1"/>
    <xf numFmtId="0" fontId="5" fillId="0" borderId="2" xfId="3" applyFont="1" applyFill="1" applyBorder="1" applyAlignment="1">
      <alignment horizontal="left" vertical="center" wrapText="1"/>
    </xf>
    <xf numFmtId="165" fontId="9" fillId="0" borderId="2" xfId="3" applyNumberFormat="1" applyFont="1" applyFill="1" applyBorder="1"/>
    <xf numFmtId="164" fontId="9" fillId="2" borderId="2" xfId="1" applyFont="1" applyFill="1" applyBorder="1" applyAlignment="1">
      <alignment horizontal="right"/>
    </xf>
    <xf numFmtId="4" fontId="1" fillId="2" borderId="2" xfId="3" applyNumberFormat="1" applyFont="1" applyFill="1" applyBorder="1" applyAlignment="1"/>
    <xf numFmtId="4" fontId="1" fillId="0" borderId="2" xfId="3" applyNumberFormat="1" applyFont="1" applyFill="1" applyBorder="1"/>
    <xf numFmtId="164" fontId="9" fillId="0" borderId="2" xfId="1" applyFont="1" applyBorder="1" applyAlignment="1">
      <alignment horizontal="right"/>
    </xf>
    <xf numFmtId="164" fontId="9" fillId="0" borderId="2" xfId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43" fontId="1" fillId="0" borderId="0" xfId="0" applyNumberFormat="1" applyFont="1" applyFill="1"/>
    <xf numFmtId="9" fontId="1" fillId="0" borderId="2" xfId="2" applyFont="1" applyBorder="1"/>
    <xf numFmtId="0" fontId="5" fillId="2" borderId="2" xfId="3" applyFont="1" applyFill="1" applyBorder="1" applyAlignment="1">
      <alignment horizontal="left" vertical="center" wrapText="1"/>
    </xf>
    <xf numFmtId="4" fontId="10" fillId="0" borderId="2" xfId="3" applyNumberFormat="1" applyFont="1" applyFill="1" applyBorder="1"/>
    <xf numFmtId="4" fontId="1" fillId="2" borderId="2" xfId="0" applyNumberFormat="1" applyFont="1" applyFill="1" applyBorder="1"/>
    <xf numFmtId="164" fontId="1" fillId="0" borderId="2" xfId="1" applyFont="1" applyBorder="1" applyAlignment="1">
      <alignment horizontal="right"/>
    </xf>
    <xf numFmtId="165" fontId="1" fillId="2" borderId="2" xfId="0" applyNumberFormat="1" applyFont="1" applyFill="1" applyBorder="1"/>
    <xf numFmtId="43" fontId="7" fillId="0" borderId="0" xfId="0" applyNumberFormat="1" applyFont="1"/>
    <xf numFmtId="164" fontId="7" fillId="0" borderId="0" xfId="0" applyNumberFormat="1" applyFont="1"/>
    <xf numFmtId="0" fontId="5" fillId="2" borderId="2" xfId="0" applyFont="1" applyFill="1" applyBorder="1" applyAlignment="1">
      <alignment horizontal="right" wrapText="1"/>
    </xf>
    <xf numFmtId="4" fontId="5" fillId="2" borderId="2" xfId="0" applyNumberFormat="1" applyFont="1" applyFill="1" applyBorder="1"/>
    <xf numFmtId="0" fontId="5" fillId="2" borderId="2" xfId="0" applyFont="1" applyFill="1" applyBorder="1"/>
    <xf numFmtId="4" fontId="11" fillId="2" borderId="2" xfId="0" applyNumberFormat="1" applyFont="1" applyFill="1" applyBorder="1"/>
    <xf numFmtId="4" fontId="12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9" fontId="1" fillId="2" borderId="2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3" fillId="2" borderId="0" xfId="0" applyFont="1" applyFill="1"/>
    <xf numFmtId="4" fontId="1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Border="1" applyAlignment="1"/>
    <xf numFmtId="0" fontId="14" fillId="2" borderId="0" xfId="0" applyFont="1" applyFill="1"/>
    <xf numFmtId="0" fontId="5" fillId="2" borderId="0" xfId="0" applyFont="1" applyFill="1" applyBorder="1" applyAlignment="1">
      <alignment wrapText="1"/>
    </xf>
    <xf numFmtId="0" fontId="2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/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4" fillId="2" borderId="0" xfId="0" applyFont="1" applyFill="1"/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/>
    <xf numFmtId="0" fontId="2" fillId="0" borderId="0" xfId="0" applyFont="1" applyFill="1" applyAlignment="1">
      <alignment vertical="top" wrapText="1"/>
    </xf>
    <xf numFmtId="0" fontId="2" fillId="2" borderId="0" xfId="0" applyFont="1" applyFill="1" applyAlignment="1">
      <alignment horizontal="left" wrapText="1"/>
    </xf>
    <xf numFmtId="0" fontId="16" fillId="0" borderId="8" xfId="0" applyFont="1" applyBorder="1"/>
    <xf numFmtId="0" fontId="16" fillId="0" borderId="9" xfId="0" applyFont="1" applyBorder="1"/>
    <xf numFmtId="0" fontId="16" fillId="0" borderId="10" xfId="0" applyFont="1" applyBorder="1"/>
    <xf numFmtId="0" fontId="16" fillId="0" borderId="0" xfId="0" applyFont="1"/>
    <xf numFmtId="0" fontId="16" fillId="0" borderId="11" xfId="0" applyFont="1" applyBorder="1"/>
    <xf numFmtId="0" fontId="16" fillId="0" borderId="0" xfId="0" applyFont="1" applyBorder="1"/>
    <xf numFmtId="0" fontId="16" fillId="0" borderId="12" xfId="0" applyFont="1" applyBorder="1"/>
    <xf numFmtId="0" fontId="17" fillId="0" borderId="0" xfId="0" applyFont="1" applyBorder="1"/>
    <xf numFmtId="0" fontId="17" fillId="0" borderId="12" xfId="0" applyFont="1" applyBorder="1"/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20" xfId="0" applyFont="1" applyBorder="1"/>
    <xf numFmtId="164" fontId="16" fillId="0" borderId="21" xfId="1" applyFont="1" applyBorder="1"/>
    <xf numFmtId="164" fontId="16" fillId="0" borderId="22" xfId="1" applyFont="1" applyBorder="1"/>
    <xf numFmtId="164" fontId="17" fillId="7" borderId="23" xfId="1" applyFont="1" applyFill="1" applyBorder="1"/>
    <xf numFmtId="0" fontId="16" fillId="0" borderId="24" xfId="0" applyFont="1" applyBorder="1"/>
    <xf numFmtId="165" fontId="18" fillId="2" borderId="2" xfId="3" applyNumberFormat="1" applyFont="1" applyFill="1" applyBorder="1"/>
    <xf numFmtId="164" fontId="16" fillId="0" borderId="2" xfId="1" applyFont="1" applyBorder="1"/>
    <xf numFmtId="164" fontId="16" fillId="0" borderId="5" xfId="1" applyFont="1" applyBorder="1"/>
    <xf numFmtId="164" fontId="17" fillId="7" borderId="25" xfId="1" applyFont="1" applyFill="1" applyBorder="1"/>
    <xf numFmtId="164" fontId="16" fillId="0" borderId="3" xfId="1" applyFont="1" applyBorder="1"/>
    <xf numFmtId="164" fontId="16" fillId="0" borderId="26" xfId="1" applyFont="1" applyBorder="1"/>
    <xf numFmtId="43" fontId="16" fillId="0" borderId="0" xfId="0" applyNumberFormat="1" applyFont="1"/>
    <xf numFmtId="165" fontId="19" fillId="2" borderId="2" xfId="3" applyNumberFormat="1" applyFont="1" applyFill="1" applyBorder="1"/>
    <xf numFmtId="0" fontId="16" fillId="0" borderId="27" xfId="0" applyFont="1" applyBorder="1"/>
    <xf numFmtId="164" fontId="16" fillId="0" borderId="28" xfId="1" applyFont="1" applyBorder="1"/>
    <xf numFmtId="164" fontId="16" fillId="0" borderId="29" xfId="1" applyFont="1" applyBorder="1"/>
    <xf numFmtId="164" fontId="17" fillId="7" borderId="30" xfId="1" applyFont="1" applyFill="1" applyBorder="1"/>
    <xf numFmtId="0" fontId="17" fillId="7" borderId="31" xfId="0" applyFont="1" applyFill="1" applyBorder="1" applyAlignment="1">
      <alignment horizontal="right"/>
    </xf>
    <xf numFmtId="164" fontId="17" fillId="7" borderId="32" xfId="1" applyFont="1" applyFill="1" applyBorder="1"/>
    <xf numFmtId="164" fontId="17" fillId="7" borderId="33" xfId="1" applyFont="1" applyFill="1" applyBorder="1"/>
    <xf numFmtId="164" fontId="17" fillId="8" borderId="19" xfId="1" applyFont="1" applyFill="1" applyBorder="1"/>
    <xf numFmtId="4" fontId="16" fillId="0" borderId="0" xfId="0" applyNumberFormat="1" applyFont="1"/>
    <xf numFmtId="0" fontId="17" fillId="0" borderId="0" xfId="0" applyFont="1"/>
    <xf numFmtId="0" fontId="16" fillId="0" borderId="34" xfId="0" applyFont="1" applyBorder="1"/>
    <xf numFmtId="164" fontId="16" fillId="0" borderId="4" xfId="1" applyFont="1" applyBorder="1"/>
    <xf numFmtId="164" fontId="17" fillId="7" borderId="35" xfId="1" applyFont="1" applyFill="1" applyBorder="1"/>
    <xf numFmtId="0" fontId="16" fillId="0" borderId="36" xfId="0" applyFont="1" applyBorder="1"/>
    <xf numFmtId="164" fontId="17" fillId="0" borderId="35" xfId="1" applyFont="1" applyBorder="1"/>
    <xf numFmtId="164" fontId="0" fillId="0" borderId="0" xfId="1" applyFont="1"/>
    <xf numFmtId="164" fontId="0" fillId="0" borderId="0" xfId="0" applyNumberFormat="1"/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5" fontId="18" fillId="2" borderId="3" xfId="3" applyNumberFormat="1" applyFont="1" applyFill="1" applyBorder="1"/>
    <xf numFmtId="165" fontId="19" fillId="2" borderId="3" xfId="3" applyNumberFormat="1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164" fontId="1" fillId="2" borderId="5" xfId="1" applyFont="1" applyFill="1" applyBorder="1" applyAlignment="1">
      <alignment horizontal="center"/>
    </xf>
    <xf numFmtId="164" fontId="1" fillId="2" borderId="6" xfId="1" applyFont="1" applyFill="1" applyBorder="1" applyAlignment="1">
      <alignment horizontal="center"/>
    </xf>
    <xf numFmtId="164" fontId="1" fillId="2" borderId="7" xfId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" fontId="1" fillId="6" borderId="0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4" fillId="2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justify" vertical="justify" wrapText="1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</cellXfs>
  <cellStyles count="4">
    <cellStyle name="Millares" xfId="1" builtinId="3"/>
    <cellStyle name="Normal" xfId="0" builtinId="0"/>
    <cellStyle name="Normal 10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3</xdr:row>
      <xdr:rowOff>28575</xdr:rowOff>
    </xdr:from>
    <xdr:to>
      <xdr:col>11</xdr:col>
      <xdr:colOff>514350</xdr:colOff>
      <xdr:row>4</xdr:row>
      <xdr:rowOff>104775</xdr:rowOff>
    </xdr:to>
    <xdr:sp macro="" textlink="">
      <xdr:nvSpPr>
        <xdr:cNvPr id="2" name="1 Rectángulo redondeado"/>
        <xdr:cNvSpPr/>
      </xdr:nvSpPr>
      <xdr:spPr>
        <a:xfrm>
          <a:off x="12992100" y="514350"/>
          <a:ext cx="1057275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MR-04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151006</xdr:colOff>
      <xdr:row>0</xdr:row>
      <xdr:rowOff>139390</xdr:rowOff>
    </xdr:from>
    <xdr:to>
      <xdr:col>1</xdr:col>
      <xdr:colOff>34847</xdr:colOff>
      <xdr:row>4</xdr:row>
      <xdr:rowOff>104543</xdr:rowOff>
    </xdr:to>
    <xdr:pic>
      <xdr:nvPicPr>
        <xdr:cNvPr id="3" name="2 Imagen" descr="Logotipo_Actopan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06" y="139390"/>
          <a:ext cx="3884341" cy="650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495300</xdr:colOff>
      <xdr:row>3</xdr:row>
      <xdr:rowOff>28575</xdr:rowOff>
    </xdr:from>
    <xdr:to>
      <xdr:col>11</xdr:col>
      <xdr:colOff>514350</xdr:colOff>
      <xdr:row>4</xdr:row>
      <xdr:rowOff>104775</xdr:rowOff>
    </xdr:to>
    <xdr:sp macro="" textlink="">
      <xdr:nvSpPr>
        <xdr:cNvPr id="4" name="3 Rectángulo redondeado"/>
        <xdr:cNvSpPr/>
      </xdr:nvSpPr>
      <xdr:spPr>
        <a:xfrm>
          <a:off x="12992100" y="514350"/>
          <a:ext cx="1057275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FR-01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116159</xdr:colOff>
      <xdr:row>0</xdr:row>
      <xdr:rowOff>139390</xdr:rowOff>
    </xdr:from>
    <xdr:to>
      <xdr:col>1</xdr:col>
      <xdr:colOff>0</xdr:colOff>
      <xdr:row>4</xdr:row>
      <xdr:rowOff>104543</xdr:rowOff>
    </xdr:to>
    <xdr:pic>
      <xdr:nvPicPr>
        <xdr:cNvPr id="5" name="4 Imagen" descr="Logotipo_Actopan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59" y="139390"/>
          <a:ext cx="3884341" cy="650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116159</xdr:colOff>
      <xdr:row>0</xdr:row>
      <xdr:rowOff>139390</xdr:rowOff>
    </xdr:from>
    <xdr:to>
      <xdr:col>1</xdr:col>
      <xdr:colOff>0</xdr:colOff>
      <xdr:row>4</xdr:row>
      <xdr:rowOff>104543</xdr:rowOff>
    </xdr:to>
    <xdr:pic>
      <xdr:nvPicPr>
        <xdr:cNvPr id="6" name="2 Imagen" descr="Logotipo_Actopan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59" y="139390"/>
          <a:ext cx="3884341" cy="650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116159</xdr:colOff>
      <xdr:row>0</xdr:row>
      <xdr:rowOff>139390</xdr:rowOff>
    </xdr:from>
    <xdr:to>
      <xdr:col>1</xdr:col>
      <xdr:colOff>0</xdr:colOff>
      <xdr:row>4</xdr:row>
      <xdr:rowOff>104543</xdr:rowOff>
    </xdr:to>
    <xdr:pic>
      <xdr:nvPicPr>
        <xdr:cNvPr id="7" name="4 Imagen" descr="Logotipo_Actopan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59" y="139390"/>
          <a:ext cx="3884341" cy="650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tabSelected="1" topLeftCell="A22" zoomScale="82" zoomScaleNormal="82" zoomScaleSheetLayoutView="100" workbookViewId="0">
      <selection activeCell="G55" sqref="G55:H55"/>
    </sheetView>
  </sheetViews>
  <sheetFormatPr baseColWidth="10" defaultRowHeight="12.75" x14ac:dyDescent="0.2"/>
  <cols>
    <col min="1" max="1" width="60" style="6" customWidth="1"/>
    <col min="2" max="2" width="17.28515625" style="1" customWidth="1"/>
    <col min="3" max="3" width="16.42578125" style="1" customWidth="1"/>
    <col min="4" max="4" width="14.7109375" style="1" customWidth="1"/>
    <col min="5" max="5" width="14.5703125" style="1" customWidth="1"/>
    <col min="6" max="6" width="6" style="1" customWidth="1"/>
    <col min="7" max="7" width="14.28515625" style="1" customWidth="1"/>
    <col min="8" max="8" width="15.140625" style="1" customWidth="1"/>
    <col min="9" max="9" width="15.28515625" style="1" customWidth="1"/>
    <col min="10" max="10" width="13.7109375" style="1" customWidth="1"/>
    <col min="11" max="11" width="15.5703125" style="1" customWidth="1"/>
    <col min="12" max="12" width="17.42578125" style="1" customWidth="1"/>
    <col min="13" max="13" width="8.28515625" style="1" customWidth="1"/>
    <col min="14" max="14" width="14.28515625" style="1" hidden="1" customWidth="1"/>
    <col min="15" max="15" width="14.140625" style="1" hidden="1" customWidth="1"/>
    <col min="16" max="16" width="14.5703125" style="1" hidden="1" customWidth="1"/>
    <col min="17" max="17" width="13.42578125" style="1" hidden="1" customWidth="1"/>
    <col min="18" max="18" width="15.28515625" style="1" hidden="1" customWidth="1"/>
    <col min="19" max="19" width="13" style="1" hidden="1" customWidth="1"/>
    <col min="20" max="20" width="11.42578125" style="1" customWidth="1"/>
    <col min="21" max="16384" width="11.42578125" style="1"/>
  </cols>
  <sheetData>
    <row r="1" spans="1:21" x14ac:dyDescent="0.2">
      <c r="A1"/>
    </row>
    <row r="4" spans="1:21" ht="15.75" customHeight="1" x14ac:dyDescent="0.25">
      <c r="A4" s="148" t="s">
        <v>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21" ht="15.75" customHeight="1" thickBot="1" x14ac:dyDescent="0.25">
      <c r="A5" s="149" t="s">
        <v>158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21" ht="15.75" customHeight="1" thickTop="1" x14ac:dyDescent="0.25">
      <c r="A6" s="148" t="s">
        <v>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21" ht="12" customHeight="1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21" ht="15.75" customHeight="1" x14ac:dyDescent="0.25">
      <c r="A8" s="4" t="s">
        <v>2</v>
      </c>
      <c r="B8" s="5"/>
      <c r="C8" s="5"/>
      <c r="D8" s="3"/>
      <c r="E8" s="3"/>
      <c r="F8" s="3"/>
      <c r="G8" s="3"/>
      <c r="H8" s="3"/>
      <c r="I8" s="3"/>
      <c r="J8" s="3"/>
      <c r="K8" s="3"/>
      <c r="L8" s="3"/>
      <c r="M8" s="3"/>
    </row>
    <row r="9" spans="1:21" ht="8.25" customHeight="1" x14ac:dyDescent="0.2">
      <c r="B9" s="7"/>
      <c r="C9" s="7"/>
      <c r="D9" s="7"/>
      <c r="E9" s="8"/>
      <c r="F9" s="8"/>
      <c r="G9" s="8"/>
    </row>
    <row r="10" spans="1:21" ht="15.75" customHeight="1" x14ac:dyDescent="0.2">
      <c r="C10" s="150" t="s">
        <v>3</v>
      </c>
      <c r="D10" s="150"/>
      <c r="E10" s="151"/>
      <c r="F10" s="151"/>
      <c r="G10" s="151"/>
      <c r="H10" s="150" t="s">
        <v>4</v>
      </c>
      <c r="I10" s="150"/>
      <c r="J10" s="150"/>
      <c r="K10" s="150"/>
      <c r="L10" s="150"/>
      <c r="R10" s="9"/>
    </row>
    <row r="11" spans="1:21" ht="15.75" customHeight="1" x14ac:dyDescent="0.2">
      <c r="A11" s="144" t="s">
        <v>5</v>
      </c>
      <c r="B11" s="146" t="s">
        <v>6</v>
      </c>
      <c r="C11" s="146" t="s">
        <v>7</v>
      </c>
      <c r="D11" s="146" t="s">
        <v>8</v>
      </c>
      <c r="E11" s="147" t="s">
        <v>9</v>
      </c>
      <c r="F11" s="147" t="s">
        <v>10</v>
      </c>
      <c r="G11" s="144" t="s">
        <v>11</v>
      </c>
      <c r="H11" s="147" t="s">
        <v>12</v>
      </c>
      <c r="I11" s="147" t="s">
        <v>13</v>
      </c>
      <c r="J11" s="147" t="s">
        <v>14</v>
      </c>
      <c r="K11" s="147" t="s">
        <v>15</v>
      </c>
      <c r="L11" s="147" t="s">
        <v>16</v>
      </c>
      <c r="M11" s="10" t="s">
        <v>17</v>
      </c>
      <c r="O11" s="11"/>
      <c r="P11" s="12"/>
    </row>
    <row r="12" spans="1:21" ht="38.25" customHeight="1" x14ac:dyDescent="0.2">
      <c r="A12" s="145"/>
      <c r="B12" s="146"/>
      <c r="C12" s="146"/>
      <c r="D12" s="146"/>
      <c r="E12" s="147"/>
      <c r="F12" s="147"/>
      <c r="G12" s="145"/>
      <c r="H12" s="147"/>
      <c r="I12" s="147"/>
      <c r="J12" s="147"/>
      <c r="K12" s="147"/>
      <c r="L12" s="147"/>
      <c r="M12" s="13" t="s">
        <v>18</v>
      </c>
      <c r="N12" s="14"/>
      <c r="O12" s="11"/>
      <c r="P12" s="15"/>
    </row>
    <row r="13" spans="1:21" s="28" customFormat="1" ht="18.75" customHeight="1" x14ac:dyDescent="0.2">
      <c r="A13" s="16"/>
      <c r="B13" s="17"/>
      <c r="C13" s="17"/>
      <c r="D13" s="17"/>
      <c r="E13" s="18"/>
      <c r="F13" s="18"/>
      <c r="G13" s="19"/>
      <c r="H13" s="18"/>
      <c r="I13" s="18"/>
      <c r="J13" s="18"/>
      <c r="K13" s="18"/>
      <c r="L13" s="20"/>
      <c r="M13" s="21"/>
      <c r="N13" s="22"/>
      <c r="O13" s="22"/>
      <c r="P13" s="23"/>
      <c r="Q13" s="24"/>
      <c r="R13" s="25"/>
      <c r="S13" s="26">
        <f>+Q14+R14</f>
        <v>0</v>
      </c>
      <c r="T13" s="27"/>
      <c r="U13" s="1"/>
    </row>
    <row r="14" spans="1:21" s="28" customFormat="1" x14ac:dyDescent="0.2">
      <c r="A14" s="29" t="s">
        <v>19</v>
      </c>
      <c r="B14" s="30">
        <f>SUM(B15:B20)</f>
        <v>24847017.119999997</v>
      </c>
      <c r="C14" s="30">
        <f>SUM(C15:C20)</f>
        <v>29220682.43</v>
      </c>
      <c r="D14" s="30">
        <f>SUM(D15:D20)</f>
        <v>194574.59</v>
      </c>
      <c r="E14" s="30">
        <f>19390123.27-8819.2-243631.34</f>
        <v>19137672.73</v>
      </c>
      <c r="F14" s="31">
        <f>E14/C14</f>
        <v>0.65493585838884871</v>
      </c>
      <c r="G14" s="32">
        <f>C14-E14</f>
        <v>10083009.699999999</v>
      </c>
      <c r="H14" s="33">
        <f>19900+9546734.17+33120.66</f>
        <v>9599754.8300000001</v>
      </c>
      <c r="I14" s="34">
        <f>13136.2+413739.9+243631.34</f>
        <v>670507.44000000006</v>
      </c>
      <c r="J14" s="34">
        <v>8819.2000000000007</v>
      </c>
      <c r="K14" s="35">
        <v>1497.18</v>
      </c>
      <c r="L14" s="32">
        <f>+H14+I14+J14-K14</f>
        <v>10277584.289999999</v>
      </c>
      <c r="M14" s="36">
        <f t="shared" ref="M14" si="0">E14/B14</f>
        <v>0.77022012894238323</v>
      </c>
      <c r="N14" s="22">
        <f t="shared" ref="N14:N46" si="1">G14-H14</f>
        <v>483254.86999999918</v>
      </c>
      <c r="O14" s="22">
        <f>I14+J14-K14</f>
        <v>677829.46</v>
      </c>
      <c r="P14" s="23">
        <f t="shared" ref="P14:P46" si="2">N14-O14</f>
        <v>-194574.59000000078</v>
      </c>
      <c r="Q14" s="24">
        <f t="shared" ref="Q14:Q46" si="3">+G14-L14</f>
        <v>-194574.58999999985</v>
      </c>
      <c r="R14" s="25">
        <f>SUM(R15:R20)</f>
        <v>194574.59</v>
      </c>
      <c r="S14" s="26">
        <f>SUM(S15:S20)</f>
        <v>194574.59</v>
      </c>
      <c r="T14" s="27"/>
    </row>
    <row r="15" spans="1:21" s="41" customFormat="1" x14ac:dyDescent="0.2">
      <c r="A15" s="37" t="s">
        <v>20</v>
      </c>
      <c r="B15" s="38">
        <v>14361757.16</v>
      </c>
      <c r="C15" s="38">
        <v>15557392.300000001</v>
      </c>
      <c r="D15" s="38"/>
      <c r="E15" s="38"/>
      <c r="F15" s="36">
        <f>E15/C15</f>
        <v>0</v>
      </c>
      <c r="G15" s="39"/>
      <c r="H15" s="40"/>
      <c r="I15" s="40"/>
      <c r="J15" s="40"/>
      <c r="K15" s="40"/>
      <c r="L15" s="40"/>
      <c r="M15" s="36">
        <f>E15/B15</f>
        <v>0</v>
      </c>
      <c r="N15" s="22">
        <f t="shared" si="1"/>
        <v>0</v>
      </c>
      <c r="O15" s="22">
        <f t="shared" ref="O15:O46" si="4">I15-K15</f>
        <v>0</v>
      </c>
      <c r="P15" s="23">
        <f t="shared" si="2"/>
        <v>0</v>
      </c>
      <c r="Q15" s="24">
        <f t="shared" si="3"/>
        <v>0</v>
      </c>
      <c r="R15" s="25">
        <f t="shared" ref="R15:R46" si="5">+Q15+D15</f>
        <v>0</v>
      </c>
      <c r="S15" s="26">
        <f t="shared" ref="S15:S46" si="6">+R15-Q15</f>
        <v>0</v>
      </c>
      <c r="T15" s="27"/>
    </row>
    <row r="16" spans="1:21" s="41" customFormat="1" x14ac:dyDescent="0.2">
      <c r="A16" s="37" t="s">
        <v>21</v>
      </c>
      <c r="B16" s="42">
        <f>32706318.49-24027754.01-7112802.32</f>
        <v>1565762.1599999964</v>
      </c>
      <c r="C16" s="38">
        <v>6526080.4199999999</v>
      </c>
      <c r="D16" s="38"/>
      <c r="E16" s="38"/>
      <c r="F16" s="36">
        <f>E16/C16</f>
        <v>0</v>
      </c>
      <c r="G16" s="39"/>
      <c r="H16" s="40"/>
      <c r="I16" s="40"/>
      <c r="J16" s="40"/>
      <c r="K16" s="40"/>
      <c r="L16" s="40"/>
      <c r="M16" s="36">
        <f>E16/B16</f>
        <v>0</v>
      </c>
      <c r="N16" s="22">
        <f t="shared" si="1"/>
        <v>0</v>
      </c>
      <c r="O16" s="22">
        <f t="shared" si="4"/>
        <v>0</v>
      </c>
      <c r="P16" s="23">
        <f t="shared" si="2"/>
        <v>0</v>
      </c>
      <c r="Q16" s="24">
        <f t="shared" si="3"/>
        <v>0</v>
      </c>
      <c r="R16" s="25">
        <f t="shared" si="5"/>
        <v>0</v>
      </c>
      <c r="S16" s="26">
        <f t="shared" si="6"/>
        <v>0</v>
      </c>
      <c r="T16" s="27"/>
    </row>
    <row r="17" spans="1:20" s="41" customFormat="1" x14ac:dyDescent="0.2">
      <c r="A17" s="37" t="s">
        <v>22</v>
      </c>
      <c r="B17" s="38">
        <v>2420583.0299999998</v>
      </c>
      <c r="C17" s="38">
        <v>4930496.21</v>
      </c>
      <c r="D17" s="38"/>
      <c r="E17" s="38"/>
      <c r="F17" s="36">
        <f>E17/C17</f>
        <v>0</v>
      </c>
      <c r="G17" s="39"/>
      <c r="H17" s="40"/>
      <c r="I17" s="40"/>
      <c r="J17" s="40"/>
      <c r="K17" s="40"/>
      <c r="L17" s="40"/>
      <c r="M17" s="36">
        <f>E17/B17</f>
        <v>0</v>
      </c>
      <c r="N17" s="22">
        <f t="shared" si="1"/>
        <v>0</v>
      </c>
      <c r="O17" s="22">
        <f t="shared" si="4"/>
        <v>0</v>
      </c>
      <c r="P17" s="23">
        <f t="shared" si="2"/>
        <v>0</v>
      </c>
      <c r="Q17" s="24">
        <f t="shared" si="3"/>
        <v>0</v>
      </c>
      <c r="R17" s="25">
        <f t="shared" si="5"/>
        <v>0</v>
      </c>
      <c r="S17" s="26">
        <f t="shared" si="6"/>
        <v>0</v>
      </c>
      <c r="T17" s="27"/>
    </row>
    <row r="18" spans="1:20" s="41" customFormat="1" x14ac:dyDescent="0.2">
      <c r="A18" s="37" t="s">
        <v>23</v>
      </c>
      <c r="B18" s="38">
        <v>6498914.7699999996</v>
      </c>
      <c r="C18" s="38">
        <f>2401288.09-194574.59</f>
        <v>2206713.5</v>
      </c>
      <c r="D18" s="38">
        <v>194574.59</v>
      </c>
      <c r="E18" s="38"/>
      <c r="F18" s="36">
        <f>E18/C18</f>
        <v>0</v>
      </c>
      <c r="G18" s="39"/>
      <c r="H18" s="40"/>
      <c r="I18" s="40"/>
      <c r="J18" s="40"/>
      <c r="K18" s="40"/>
      <c r="L18" s="40"/>
      <c r="M18" s="36">
        <f t="shared" ref="M18" si="7">E18/B18</f>
        <v>0</v>
      </c>
      <c r="N18" s="22">
        <f t="shared" si="1"/>
        <v>0</v>
      </c>
      <c r="O18" s="22">
        <f t="shared" si="4"/>
        <v>0</v>
      </c>
      <c r="P18" s="23">
        <f t="shared" si="2"/>
        <v>0</v>
      </c>
      <c r="Q18" s="24">
        <f t="shared" si="3"/>
        <v>0</v>
      </c>
      <c r="R18" s="25">
        <f t="shared" si="5"/>
        <v>194574.59</v>
      </c>
      <c r="S18" s="26">
        <f t="shared" si="6"/>
        <v>194574.59</v>
      </c>
      <c r="T18" s="27"/>
    </row>
    <row r="19" spans="1:20" s="41" customFormat="1" x14ac:dyDescent="0.2">
      <c r="A19" s="37" t="s">
        <v>24</v>
      </c>
      <c r="B19" s="38"/>
      <c r="C19" s="38"/>
      <c r="D19" s="38"/>
      <c r="E19" s="38"/>
      <c r="F19" s="36">
        <v>0</v>
      </c>
      <c r="G19" s="39"/>
      <c r="H19" s="40"/>
      <c r="I19" s="40"/>
      <c r="J19" s="40"/>
      <c r="K19" s="40"/>
      <c r="L19" s="40"/>
      <c r="M19" s="36">
        <v>0</v>
      </c>
      <c r="N19" s="22">
        <f t="shared" si="1"/>
        <v>0</v>
      </c>
      <c r="O19" s="22">
        <f t="shared" si="4"/>
        <v>0</v>
      </c>
      <c r="P19" s="23">
        <f t="shared" si="2"/>
        <v>0</v>
      </c>
      <c r="Q19" s="24">
        <f t="shared" si="3"/>
        <v>0</v>
      </c>
      <c r="R19" s="25">
        <f t="shared" si="5"/>
        <v>0</v>
      </c>
      <c r="S19" s="26">
        <f t="shared" si="6"/>
        <v>0</v>
      </c>
      <c r="T19" s="27"/>
    </row>
    <row r="20" spans="1:20" s="41" customFormat="1" x14ac:dyDescent="0.2">
      <c r="A20" s="37" t="s">
        <v>25</v>
      </c>
      <c r="B20" s="38"/>
      <c r="C20" s="38"/>
      <c r="D20" s="38"/>
      <c r="E20" s="38"/>
      <c r="F20" s="36">
        <v>0</v>
      </c>
      <c r="G20" s="39"/>
      <c r="H20" s="40"/>
      <c r="I20" s="40"/>
      <c r="J20" s="40"/>
      <c r="K20" s="40"/>
      <c r="L20" s="40"/>
      <c r="M20" s="36">
        <v>0</v>
      </c>
      <c r="N20" s="22">
        <f t="shared" si="1"/>
        <v>0</v>
      </c>
      <c r="O20" s="22">
        <f t="shared" si="4"/>
        <v>0</v>
      </c>
      <c r="P20" s="23">
        <f t="shared" si="2"/>
        <v>0</v>
      </c>
      <c r="Q20" s="24">
        <f t="shared" si="3"/>
        <v>0</v>
      </c>
      <c r="R20" s="25">
        <f t="shared" si="5"/>
        <v>0</v>
      </c>
      <c r="S20" s="26">
        <f t="shared" si="6"/>
        <v>0</v>
      </c>
      <c r="T20" s="27"/>
    </row>
    <row r="21" spans="1:20" s="28" customFormat="1" x14ac:dyDescent="0.2">
      <c r="A21" s="43" t="s">
        <v>26</v>
      </c>
      <c r="B21" s="38">
        <f>692948.8+587.6</f>
        <v>693536.4</v>
      </c>
      <c r="C21" s="38"/>
      <c r="D21" s="38"/>
      <c r="E21" s="38">
        <f>693536.4-616083.2</f>
        <v>77453.20000000007</v>
      </c>
      <c r="F21" s="36">
        <v>0</v>
      </c>
      <c r="G21" s="39">
        <f t="shared" ref="G21:G46" si="8">C21-E21</f>
        <v>-77453.20000000007</v>
      </c>
      <c r="H21" s="44">
        <v>0</v>
      </c>
      <c r="I21" s="40">
        <f>(941687.82+616083.2)</f>
        <v>1557771.02</v>
      </c>
      <c r="J21" s="40">
        <v>2290250.96</v>
      </c>
      <c r="K21" s="45">
        <f>3924887.58+587.6</f>
        <v>3925475.18</v>
      </c>
      <c r="L21" s="39">
        <f t="shared" ref="L21:L46" si="9">+H21+I21+J21-K21</f>
        <v>-77453.200000000186</v>
      </c>
      <c r="M21" s="36">
        <v>1</v>
      </c>
      <c r="N21" s="22">
        <f t="shared" si="1"/>
        <v>-77453.20000000007</v>
      </c>
      <c r="O21" s="22">
        <f t="shared" si="4"/>
        <v>-2367704.16</v>
      </c>
      <c r="P21" s="23">
        <f t="shared" si="2"/>
        <v>2290250.96</v>
      </c>
      <c r="Q21" s="24">
        <f t="shared" si="3"/>
        <v>1.1641532182693481E-10</v>
      </c>
      <c r="R21" s="25">
        <f t="shared" si="5"/>
        <v>1.1641532182693481E-10</v>
      </c>
      <c r="S21" s="26">
        <f t="shared" si="6"/>
        <v>0</v>
      </c>
      <c r="T21" s="27"/>
    </row>
    <row r="22" spans="1:20" s="41" customFormat="1" x14ac:dyDescent="0.2">
      <c r="A22" s="37" t="s">
        <v>27</v>
      </c>
      <c r="B22" s="46">
        <v>40868907</v>
      </c>
      <c r="C22" s="38">
        <v>24622184.68</v>
      </c>
      <c r="D22" s="38">
        <v>62282.37</v>
      </c>
      <c r="E22" s="38">
        <f>24409454.69-5518916.93</f>
        <v>18890537.760000002</v>
      </c>
      <c r="F22" s="36">
        <v>0</v>
      </c>
      <c r="G22" s="39">
        <f t="shared" si="8"/>
        <v>5731646.9199999981</v>
      </c>
      <c r="H22" s="44">
        <v>1010500.8</v>
      </c>
      <c r="I22" s="40">
        <f>920.69+5518916.93</f>
        <v>5519837.6200000001</v>
      </c>
      <c r="J22" s="40"/>
      <c r="K22" s="40">
        <f>-9647.29+746056.42</f>
        <v>736409.13</v>
      </c>
      <c r="L22" s="20">
        <f t="shared" si="9"/>
        <v>5793929.29</v>
      </c>
      <c r="M22" s="36">
        <f t="shared" ref="M22:M42" si="10">E22/B22</f>
        <v>0.46222272986160362</v>
      </c>
      <c r="N22" s="22">
        <f t="shared" si="1"/>
        <v>4721146.1199999982</v>
      </c>
      <c r="O22" s="22">
        <f t="shared" si="4"/>
        <v>4783428.49</v>
      </c>
      <c r="P22" s="23">
        <f t="shared" si="2"/>
        <v>-62282.370000001974</v>
      </c>
      <c r="Q22" s="24">
        <f t="shared" si="3"/>
        <v>-62282.370000001974</v>
      </c>
      <c r="R22" s="25">
        <f t="shared" si="5"/>
        <v>-1.9717845134437084E-9</v>
      </c>
      <c r="S22" s="26">
        <f t="shared" si="6"/>
        <v>62282.37</v>
      </c>
      <c r="T22" s="27"/>
    </row>
    <row r="23" spans="1:20" s="41" customFormat="1" x14ac:dyDescent="0.2">
      <c r="A23" s="37" t="s">
        <v>28</v>
      </c>
      <c r="B23" s="46">
        <f>118617.76+1650462.16</f>
        <v>1769079.92</v>
      </c>
      <c r="C23" s="38"/>
      <c r="D23" s="38"/>
      <c r="E23" s="38">
        <v>1769079.92</v>
      </c>
      <c r="F23" s="36">
        <v>0</v>
      </c>
      <c r="G23" s="39">
        <f t="shared" si="8"/>
        <v>-1769079.92</v>
      </c>
      <c r="H23" s="44">
        <v>0</v>
      </c>
      <c r="I23" s="40">
        <f>+(600000)</f>
        <v>600000</v>
      </c>
      <c r="J23" s="40"/>
      <c r="K23" s="40">
        <f>718617.76+1650462.16</f>
        <v>2369079.92</v>
      </c>
      <c r="L23" s="20">
        <f t="shared" si="9"/>
        <v>-1769079.92</v>
      </c>
      <c r="M23" s="36">
        <f t="shared" si="10"/>
        <v>1</v>
      </c>
      <c r="N23" s="22">
        <f t="shared" si="1"/>
        <v>-1769079.92</v>
      </c>
      <c r="O23" s="22">
        <f t="shared" si="4"/>
        <v>-1769079.92</v>
      </c>
      <c r="P23" s="23">
        <f t="shared" si="2"/>
        <v>0</v>
      </c>
      <c r="Q23" s="24">
        <f t="shared" si="3"/>
        <v>0</v>
      </c>
      <c r="R23" s="25">
        <f t="shared" si="5"/>
        <v>0</v>
      </c>
      <c r="S23" s="26">
        <f t="shared" si="6"/>
        <v>0</v>
      </c>
      <c r="T23" s="27"/>
    </row>
    <row r="24" spans="1:20" s="41" customFormat="1" x14ac:dyDescent="0.2">
      <c r="A24" s="37" t="s">
        <v>29</v>
      </c>
      <c r="B24" s="38">
        <v>18552222</v>
      </c>
      <c r="C24" s="38">
        <v>11961480.67</v>
      </c>
      <c r="D24" s="38">
        <v>1799.62</v>
      </c>
      <c r="E24" s="38">
        <v>11784798.060000001</v>
      </c>
      <c r="F24" s="36">
        <f t="shared" ref="F24:F30" si="11">E24/C24</f>
        <v>0.98522903519435279</v>
      </c>
      <c r="G24" s="39">
        <f t="shared" si="8"/>
        <v>176682.6099999994</v>
      </c>
      <c r="H24" s="44">
        <v>178482.23</v>
      </c>
      <c r="I24" s="40"/>
      <c r="J24" s="40"/>
      <c r="K24" s="40"/>
      <c r="L24" s="20">
        <f t="shared" si="9"/>
        <v>178482.23</v>
      </c>
      <c r="M24" s="36">
        <f t="shared" si="10"/>
        <v>0.63522299700812124</v>
      </c>
      <c r="N24" s="22">
        <f t="shared" si="1"/>
        <v>-1799.6200000006065</v>
      </c>
      <c r="O24" s="22">
        <f t="shared" si="4"/>
        <v>0</v>
      </c>
      <c r="P24" s="23">
        <f t="shared" si="2"/>
        <v>-1799.6200000006065</v>
      </c>
      <c r="Q24" s="24">
        <f t="shared" si="3"/>
        <v>-1799.6200000006065</v>
      </c>
      <c r="R24" s="25">
        <f t="shared" si="5"/>
        <v>-6.0663296608254313E-10</v>
      </c>
      <c r="S24" s="26">
        <f t="shared" si="6"/>
        <v>1799.62</v>
      </c>
    </row>
    <row r="25" spans="1:20" s="41" customFormat="1" x14ac:dyDescent="0.2">
      <c r="A25" s="37" t="s">
        <v>30</v>
      </c>
      <c r="B25" s="38">
        <v>686847.03</v>
      </c>
      <c r="C25" s="38"/>
      <c r="D25" s="38"/>
      <c r="E25" s="38">
        <f>686847.03-686847.03</f>
        <v>0</v>
      </c>
      <c r="F25" s="36">
        <v>0</v>
      </c>
      <c r="G25" s="39">
        <f t="shared" si="8"/>
        <v>0</v>
      </c>
      <c r="H25" s="44">
        <v>0</v>
      </c>
      <c r="I25" s="40">
        <v>686847.03</v>
      </c>
      <c r="J25" s="40"/>
      <c r="K25" s="40">
        <f>686847.03</f>
        <v>686847.03</v>
      </c>
      <c r="L25" s="20">
        <f t="shared" si="9"/>
        <v>0</v>
      </c>
      <c r="M25" s="36">
        <f t="shared" si="10"/>
        <v>0</v>
      </c>
      <c r="N25" s="22">
        <f t="shared" si="1"/>
        <v>0</v>
      </c>
      <c r="O25" s="22">
        <f t="shared" si="4"/>
        <v>0</v>
      </c>
      <c r="P25" s="23">
        <f t="shared" si="2"/>
        <v>0</v>
      </c>
      <c r="Q25" s="24">
        <f t="shared" si="3"/>
        <v>0</v>
      </c>
      <c r="R25" s="25">
        <f t="shared" si="5"/>
        <v>0</v>
      </c>
      <c r="S25" s="26">
        <f t="shared" si="6"/>
        <v>0</v>
      </c>
    </row>
    <row r="26" spans="1:20" s="41" customFormat="1" x14ac:dyDescent="0.2">
      <c r="A26" s="37" t="s">
        <v>31</v>
      </c>
      <c r="B26" s="47">
        <v>4344668</v>
      </c>
      <c r="C26" s="38">
        <v>5323842</v>
      </c>
      <c r="D26" s="38">
        <v>9557.42</v>
      </c>
      <c r="E26" s="38">
        <v>3555593.58</v>
      </c>
      <c r="F26" s="36">
        <f t="shared" si="11"/>
        <v>0.66786234076818962</v>
      </c>
      <c r="G26" s="39">
        <f t="shared" si="8"/>
        <v>1768248.42</v>
      </c>
      <c r="H26" s="48">
        <v>1794206.78</v>
      </c>
      <c r="I26" s="40"/>
      <c r="J26" s="40"/>
      <c r="K26" s="40">
        <f>12050.94+4350</f>
        <v>16400.940000000002</v>
      </c>
      <c r="L26" s="20">
        <f t="shared" si="9"/>
        <v>1777805.84</v>
      </c>
      <c r="M26" s="36">
        <f t="shared" si="10"/>
        <v>0.81838096259599125</v>
      </c>
      <c r="N26" s="22">
        <f t="shared" si="1"/>
        <v>-25958.360000000102</v>
      </c>
      <c r="O26" s="22">
        <f t="shared" si="4"/>
        <v>-16400.940000000002</v>
      </c>
      <c r="P26" s="23">
        <f t="shared" si="2"/>
        <v>-9557.4200000001001</v>
      </c>
      <c r="Q26" s="24">
        <f t="shared" si="3"/>
        <v>-9557.4200000001583</v>
      </c>
      <c r="R26" s="25">
        <f t="shared" si="5"/>
        <v>-1.5825207810848951E-10</v>
      </c>
      <c r="S26" s="26">
        <f t="shared" si="6"/>
        <v>9557.42</v>
      </c>
    </row>
    <row r="27" spans="1:20" s="41" customFormat="1" x14ac:dyDescent="0.2">
      <c r="A27" s="37" t="s">
        <v>32</v>
      </c>
      <c r="B27" s="47">
        <f>2633015.6+2703.44</f>
        <v>2635719.04</v>
      </c>
      <c r="C27" s="38"/>
      <c r="D27" s="38"/>
      <c r="E27" s="38">
        <f>2635719.04-161008-944094.14</f>
        <v>1530616.9</v>
      </c>
      <c r="F27" s="36">
        <f>2631369.04/2635719.04</f>
        <v>0.99834959647292298</v>
      </c>
      <c r="G27" s="39">
        <f t="shared" si="8"/>
        <v>-1530616.9</v>
      </c>
      <c r="H27" s="44">
        <v>0</v>
      </c>
      <c r="I27" s="40">
        <f>+(886287.78+944094.14)</f>
        <v>1830381.92</v>
      </c>
      <c r="J27" s="40">
        <f>770264.12+161008</f>
        <v>931272.12</v>
      </c>
      <c r="K27" s="40">
        <f>4289567.5+2703.44</f>
        <v>4292270.9400000004</v>
      </c>
      <c r="L27" s="20">
        <f t="shared" si="9"/>
        <v>-1530616.9000000004</v>
      </c>
      <c r="M27" s="36">
        <v>1</v>
      </c>
      <c r="N27" s="22">
        <f t="shared" si="1"/>
        <v>-1530616.9</v>
      </c>
      <c r="O27" s="22">
        <f t="shared" si="4"/>
        <v>-2461889.0200000005</v>
      </c>
      <c r="P27" s="23">
        <f t="shared" si="2"/>
        <v>931272.12000000058</v>
      </c>
      <c r="Q27" s="24">
        <f t="shared" si="3"/>
        <v>0</v>
      </c>
      <c r="R27" s="25">
        <f t="shared" si="5"/>
        <v>0</v>
      </c>
      <c r="S27" s="26">
        <f t="shared" si="6"/>
        <v>0</v>
      </c>
    </row>
    <row r="28" spans="1:20" s="41" customFormat="1" x14ac:dyDescent="0.2">
      <c r="A28" s="37" t="s">
        <v>33</v>
      </c>
      <c r="B28" s="38">
        <v>1683591</v>
      </c>
      <c r="C28" s="38">
        <v>1041766.67</v>
      </c>
      <c r="D28" s="38">
        <v>107.85</v>
      </c>
      <c r="E28" s="38">
        <v>674112.32</v>
      </c>
      <c r="F28" s="36">
        <f t="shared" si="11"/>
        <v>0.64708570490165507</v>
      </c>
      <c r="G28" s="39">
        <f t="shared" si="8"/>
        <v>367654.35000000009</v>
      </c>
      <c r="H28" s="49">
        <v>371535.79</v>
      </c>
      <c r="I28" s="40"/>
      <c r="J28" s="40"/>
      <c r="K28" s="40">
        <v>3773.59</v>
      </c>
      <c r="L28" s="20">
        <f t="shared" si="9"/>
        <v>367762.19999999995</v>
      </c>
      <c r="M28" s="36">
        <f t="shared" si="10"/>
        <v>0.40040147518013575</v>
      </c>
      <c r="N28" s="22">
        <f t="shared" si="1"/>
        <v>-3881.4399999998859</v>
      </c>
      <c r="O28" s="22">
        <f t="shared" si="4"/>
        <v>-3773.59</v>
      </c>
      <c r="P28" s="23">
        <f t="shared" si="2"/>
        <v>-107.84999999988577</v>
      </c>
      <c r="Q28" s="24">
        <f t="shared" si="3"/>
        <v>-107.8499999998603</v>
      </c>
      <c r="R28" s="25">
        <f t="shared" si="5"/>
        <v>1.396927018504357E-10</v>
      </c>
      <c r="S28" s="26">
        <f t="shared" si="6"/>
        <v>107.85</v>
      </c>
    </row>
    <row r="29" spans="1:20" s="41" customFormat="1" x14ac:dyDescent="0.2">
      <c r="A29" s="37" t="s">
        <v>34</v>
      </c>
      <c r="B29" s="38">
        <v>38824.57</v>
      </c>
      <c r="C29" s="38"/>
      <c r="D29" s="38"/>
      <c r="E29" s="38">
        <v>38824.57</v>
      </c>
      <c r="F29" s="36">
        <v>0</v>
      </c>
      <c r="G29" s="39">
        <f t="shared" si="8"/>
        <v>-38824.57</v>
      </c>
      <c r="H29" s="44">
        <v>0</v>
      </c>
      <c r="I29" s="40"/>
      <c r="J29" s="40"/>
      <c r="K29" s="40">
        <v>38824.57</v>
      </c>
      <c r="L29" s="20">
        <f t="shared" si="9"/>
        <v>-38824.57</v>
      </c>
      <c r="M29" s="36">
        <f t="shared" si="10"/>
        <v>1</v>
      </c>
      <c r="N29" s="22">
        <f t="shared" si="1"/>
        <v>-38824.57</v>
      </c>
      <c r="O29" s="22">
        <f t="shared" si="4"/>
        <v>-38824.57</v>
      </c>
      <c r="P29" s="23">
        <f t="shared" si="2"/>
        <v>0</v>
      </c>
      <c r="Q29" s="24">
        <f t="shared" si="3"/>
        <v>0</v>
      </c>
      <c r="R29" s="25">
        <f t="shared" si="5"/>
        <v>0</v>
      </c>
      <c r="S29" s="26">
        <f t="shared" si="6"/>
        <v>0</v>
      </c>
    </row>
    <row r="30" spans="1:20" s="41" customFormat="1" x14ac:dyDescent="0.2">
      <c r="A30" s="37" t="s">
        <v>35</v>
      </c>
      <c r="B30" s="46">
        <v>2003308</v>
      </c>
      <c r="C30" s="46">
        <v>1089922.02</v>
      </c>
      <c r="D30" s="38">
        <v>562.69000000000005</v>
      </c>
      <c r="E30" s="38">
        <v>1000223.71</v>
      </c>
      <c r="F30" s="36">
        <f t="shared" si="11"/>
        <v>0.91770208477850546</v>
      </c>
      <c r="G30" s="39">
        <f t="shared" si="8"/>
        <v>89698.310000000056</v>
      </c>
      <c r="H30" s="44">
        <v>90261</v>
      </c>
      <c r="I30" s="40"/>
      <c r="J30" s="40"/>
      <c r="K30" s="40"/>
      <c r="L30" s="20">
        <f t="shared" si="9"/>
        <v>90261</v>
      </c>
      <c r="M30" s="36">
        <f t="shared" si="10"/>
        <v>0.49928603589662696</v>
      </c>
      <c r="N30" s="22">
        <f t="shared" si="1"/>
        <v>-562.68999999994412</v>
      </c>
      <c r="O30" s="22">
        <f t="shared" si="4"/>
        <v>0</v>
      </c>
      <c r="P30" s="23">
        <f t="shared" si="2"/>
        <v>-562.68999999994412</v>
      </c>
      <c r="Q30" s="24">
        <f t="shared" si="3"/>
        <v>-562.68999999994412</v>
      </c>
      <c r="R30" s="25">
        <f t="shared" si="5"/>
        <v>5.5933924159035087E-11</v>
      </c>
      <c r="S30" s="26">
        <f t="shared" si="6"/>
        <v>562.69000000000005</v>
      </c>
    </row>
    <row r="31" spans="1:20" s="41" customFormat="1" x14ac:dyDescent="0.2">
      <c r="A31" s="37" t="s">
        <v>36</v>
      </c>
      <c r="B31" s="46">
        <v>44513.35</v>
      </c>
      <c r="C31" s="46"/>
      <c r="D31" s="38"/>
      <c r="E31" s="38">
        <v>44513.35</v>
      </c>
      <c r="F31" s="36">
        <v>0</v>
      </c>
      <c r="G31" s="39">
        <f t="shared" si="8"/>
        <v>-44513.35</v>
      </c>
      <c r="H31" s="44">
        <v>0</v>
      </c>
      <c r="I31" s="40"/>
      <c r="J31" s="40"/>
      <c r="K31" s="40">
        <v>44513.35</v>
      </c>
      <c r="L31" s="20">
        <f t="shared" si="9"/>
        <v>-44513.35</v>
      </c>
      <c r="M31" s="36">
        <f t="shared" si="10"/>
        <v>1</v>
      </c>
      <c r="N31" s="22">
        <f t="shared" si="1"/>
        <v>-44513.35</v>
      </c>
      <c r="O31" s="22">
        <f t="shared" si="4"/>
        <v>-44513.35</v>
      </c>
      <c r="P31" s="23">
        <f t="shared" si="2"/>
        <v>0</v>
      </c>
      <c r="Q31" s="24">
        <f t="shared" si="3"/>
        <v>0</v>
      </c>
      <c r="R31" s="25">
        <f t="shared" si="5"/>
        <v>0</v>
      </c>
      <c r="S31" s="26">
        <f t="shared" si="6"/>
        <v>0</v>
      </c>
    </row>
    <row r="32" spans="1:20" s="41" customFormat="1" x14ac:dyDescent="0.2">
      <c r="A32" s="37" t="s">
        <v>37</v>
      </c>
      <c r="B32" s="46">
        <v>1062656</v>
      </c>
      <c r="C32" s="46">
        <v>458566.07</v>
      </c>
      <c r="D32" s="38">
        <v>451.8</v>
      </c>
      <c r="E32" s="38">
        <v>403814.35</v>
      </c>
      <c r="F32" s="36">
        <f t="shared" ref="F32" si="12">E32/C32</f>
        <v>0.88060233065215654</v>
      </c>
      <c r="G32" s="39">
        <f t="shared" si="8"/>
        <v>54751.72000000003</v>
      </c>
      <c r="H32" s="44">
        <v>55203.519999999997</v>
      </c>
      <c r="I32" s="40"/>
      <c r="J32" s="40"/>
      <c r="K32" s="40"/>
      <c r="L32" s="20">
        <f t="shared" si="9"/>
        <v>55203.519999999997</v>
      </c>
      <c r="M32" s="36">
        <f t="shared" si="10"/>
        <v>0.38000477106420139</v>
      </c>
      <c r="N32" s="22">
        <f t="shared" si="1"/>
        <v>-451.79999999996653</v>
      </c>
      <c r="O32" s="22">
        <f t="shared" si="4"/>
        <v>0</v>
      </c>
      <c r="P32" s="23">
        <f t="shared" si="2"/>
        <v>-451.79999999996653</v>
      </c>
      <c r="Q32" s="24">
        <f t="shared" si="3"/>
        <v>-451.79999999996653</v>
      </c>
      <c r="R32" s="25">
        <f t="shared" si="5"/>
        <v>3.3480773709015921E-11</v>
      </c>
      <c r="S32" s="26">
        <f t="shared" si="6"/>
        <v>451.8</v>
      </c>
    </row>
    <row r="33" spans="1:20" s="41" customFormat="1" x14ac:dyDescent="0.2">
      <c r="A33" s="37" t="s">
        <v>38</v>
      </c>
      <c r="B33" s="46">
        <v>408768.22</v>
      </c>
      <c r="C33" s="46"/>
      <c r="D33" s="38"/>
      <c r="E33" s="38">
        <v>408768.22</v>
      </c>
      <c r="F33" s="36">
        <v>0</v>
      </c>
      <c r="G33" s="39">
        <f t="shared" si="8"/>
        <v>-408768.22</v>
      </c>
      <c r="H33" s="44">
        <v>0</v>
      </c>
      <c r="I33" s="40"/>
      <c r="J33" s="40"/>
      <c r="K33" s="40">
        <f>408768.22</f>
        <v>408768.22</v>
      </c>
      <c r="L33" s="20">
        <f t="shared" si="9"/>
        <v>-408768.22</v>
      </c>
      <c r="M33" s="36">
        <f t="shared" si="10"/>
        <v>1</v>
      </c>
      <c r="N33" s="22">
        <f t="shared" si="1"/>
        <v>-408768.22</v>
      </c>
      <c r="O33" s="22">
        <f t="shared" si="4"/>
        <v>-408768.22</v>
      </c>
      <c r="P33" s="23">
        <f t="shared" si="2"/>
        <v>0</v>
      </c>
      <c r="Q33" s="24">
        <f t="shared" si="3"/>
        <v>0</v>
      </c>
      <c r="R33" s="25">
        <f t="shared" si="5"/>
        <v>0</v>
      </c>
      <c r="S33" s="26">
        <f t="shared" si="6"/>
        <v>0</v>
      </c>
    </row>
    <row r="34" spans="1:20" s="41" customFormat="1" x14ac:dyDescent="0.2">
      <c r="A34" s="50" t="s">
        <v>39</v>
      </c>
      <c r="B34" s="46">
        <v>318250</v>
      </c>
      <c r="C34" s="38">
        <v>371198.79</v>
      </c>
      <c r="D34" s="38">
        <v>389.34</v>
      </c>
      <c r="E34" s="38">
        <v>107006.3</v>
      </c>
      <c r="F34" s="36">
        <f>E34/C34</f>
        <v>0.2882722220080513</v>
      </c>
      <c r="G34" s="39">
        <f>C34-E34</f>
        <v>264192.49</v>
      </c>
      <c r="H34" s="44">
        <v>264581.83</v>
      </c>
      <c r="I34" s="40"/>
      <c r="J34" s="40"/>
      <c r="K34" s="40"/>
      <c r="L34" s="20">
        <f>+H34+I34+J34-K34</f>
        <v>264581.83</v>
      </c>
      <c r="M34" s="36">
        <f t="shared" si="10"/>
        <v>0.3362334642576591</v>
      </c>
      <c r="N34" s="22">
        <f>G34-H34</f>
        <v>-389.34000000002561</v>
      </c>
      <c r="O34" s="22">
        <f>I34-K34</f>
        <v>0</v>
      </c>
      <c r="P34" s="23">
        <f>N34-O34</f>
        <v>-389.34000000002561</v>
      </c>
      <c r="Q34" s="24">
        <f>+G34-L34</f>
        <v>-389.34000000002561</v>
      </c>
      <c r="R34" s="25">
        <f>+Q34+D34</f>
        <v>-2.5636381906224415E-11</v>
      </c>
      <c r="S34" s="26">
        <f>+R34-Q34</f>
        <v>389.34</v>
      </c>
    </row>
    <row r="35" spans="1:20" s="41" customFormat="1" x14ac:dyDescent="0.2">
      <c r="A35" s="50" t="s">
        <v>40</v>
      </c>
      <c r="B35" s="46">
        <v>63853.279999999999</v>
      </c>
      <c r="C35" s="38"/>
      <c r="D35" s="38"/>
      <c r="E35" s="38">
        <v>63853.279999999999</v>
      </c>
      <c r="F35" s="36">
        <v>0</v>
      </c>
      <c r="G35" s="39">
        <f>C35-E35</f>
        <v>-63853.279999999999</v>
      </c>
      <c r="H35" s="44">
        <v>0</v>
      </c>
      <c r="I35" s="40"/>
      <c r="J35" s="40"/>
      <c r="K35" s="40">
        <v>63853.279999999999</v>
      </c>
      <c r="L35" s="20">
        <f>+H35+I35+J35-K35</f>
        <v>-63853.279999999999</v>
      </c>
      <c r="M35" s="36">
        <f t="shared" si="10"/>
        <v>1</v>
      </c>
      <c r="N35" s="22">
        <f>G35-H35</f>
        <v>-63853.279999999999</v>
      </c>
      <c r="O35" s="22">
        <f>I35-K35</f>
        <v>-63853.279999999999</v>
      </c>
      <c r="P35" s="23">
        <f>N35-O35</f>
        <v>0</v>
      </c>
      <c r="Q35" s="24">
        <f>+G35-L35</f>
        <v>0</v>
      </c>
      <c r="R35" s="25">
        <f>+Q35+D35</f>
        <v>0</v>
      </c>
      <c r="S35" s="26">
        <f>+R35-Q35</f>
        <v>0</v>
      </c>
    </row>
    <row r="36" spans="1:20" s="41" customFormat="1" x14ac:dyDescent="0.2">
      <c r="A36" s="37" t="s">
        <v>41</v>
      </c>
      <c r="B36" s="46">
        <v>69306</v>
      </c>
      <c r="C36" s="46">
        <v>46204.08</v>
      </c>
      <c r="D36" s="38">
        <v>45.59</v>
      </c>
      <c r="E36" s="38">
        <v>10173.56</v>
      </c>
      <c r="F36" s="36">
        <f t="shared" ref="F36" si="13">E36/C36</f>
        <v>0.22018748127870957</v>
      </c>
      <c r="G36" s="39">
        <f t="shared" ref="G36" si="14">C36-E36</f>
        <v>36030.520000000004</v>
      </c>
      <c r="H36" s="44">
        <v>36076.11</v>
      </c>
      <c r="I36" s="40"/>
      <c r="J36" s="40"/>
      <c r="K36" s="40"/>
      <c r="L36" s="20">
        <f t="shared" ref="L36" si="15">+H36+I36+J36-K36</f>
        <v>36076.11</v>
      </c>
      <c r="M36" s="36">
        <f t="shared" si="10"/>
        <v>0.14679190834848352</v>
      </c>
      <c r="N36" s="22">
        <f t="shared" ref="N36" si="16">G36-H36</f>
        <v>-45.589999999996508</v>
      </c>
      <c r="O36" s="22">
        <f t="shared" ref="O36" si="17">I36-K36</f>
        <v>0</v>
      </c>
      <c r="P36" s="23">
        <f t="shared" ref="P36" si="18">N36-O36</f>
        <v>-45.589999999996508</v>
      </c>
      <c r="Q36" s="24">
        <f t="shared" ref="Q36" si="19">+G36-L36</f>
        <v>-45.589999999996508</v>
      </c>
      <c r="R36" s="25">
        <f t="shared" ref="R36" si="20">+Q36+D36</f>
        <v>3.4958702599396929E-12</v>
      </c>
      <c r="S36" s="26">
        <f t="shared" ref="S36" si="21">+R36-Q36</f>
        <v>45.59</v>
      </c>
    </row>
    <row r="37" spans="1:20" s="41" customFormat="1" x14ac:dyDescent="0.2">
      <c r="A37" s="37" t="s">
        <v>42</v>
      </c>
      <c r="B37" s="46">
        <v>10955.17</v>
      </c>
      <c r="C37" s="46"/>
      <c r="D37" s="38"/>
      <c r="E37" s="38">
        <v>10955.17</v>
      </c>
      <c r="F37" s="36">
        <v>0</v>
      </c>
      <c r="G37" s="39">
        <f t="shared" si="8"/>
        <v>-10955.17</v>
      </c>
      <c r="H37" s="44">
        <v>0</v>
      </c>
      <c r="I37" s="40"/>
      <c r="J37" s="40"/>
      <c r="K37" s="40">
        <v>10955.17</v>
      </c>
      <c r="L37" s="20">
        <f t="shared" si="9"/>
        <v>-10955.17</v>
      </c>
      <c r="M37" s="36">
        <f t="shared" si="10"/>
        <v>1</v>
      </c>
      <c r="N37" s="22">
        <f t="shared" si="1"/>
        <v>-10955.17</v>
      </c>
      <c r="O37" s="22">
        <f t="shared" si="4"/>
        <v>-10955.17</v>
      </c>
      <c r="P37" s="23">
        <f t="shared" si="2"/>
        <v>0</v>
      </c>
      <c r="Q37" s="24">
        <f t="shared" si="3"/>
        <v>0</v>
      </c>
      <c r="R37" s="25">
        <f t="shared" si="5"/>
        <v>0</v>
      </c>
      <c r="S37" s="26">
        <f t="shared" si="6"/>
        <v>0</v>
      </c>
    </row>
    <row r="38" spans="1:20" s="41" customFormat="1" x14ac:dyDescent="0.2">
      <c r="A38" s="37" t="s">
        <v>43</v>
      </c>
      <c r="B38" s="38">
        <v>60843.32</v>
      </c>
      <c r="C38" s="38">
        <v>2387763.09</v>
      </c>
      <c r="D38" s="38">
        <v>1797.89</v>
      </c>
      <c r="E38" s="38">
        <v>458742.25</v>
      </c>
      <c r="F38" s="36">
        <f>E38/C38</f>
        <v>0.19212217992698766</v>
      </c>
      <c r="G38" s="39">
        <f>C38-E38</f>
        <v>1929020.8399999999</v>
      </c>
      <c r="H38" s="49">
        <v>1926468.73</v>
      </c>
      <c r="I38" s="40">
        <v>4350</v>
      </c>
      <c r="J38" s="40"/>
      <c r="K38" s="40"/>
      <c r="L38" s="20">
        <f>+H38+I38+J38-K38</f>
        <v>1930818.73</v>
      </c>
      <c r="M38" s="36">
        <f t="shared" si="10"/>
        <v>7.5397307379018761</v>
      </c>
      <c r="N38" s="22">
        <f>G38-H38</f>
        <v>2552.1099999998696</v>
      </c>
      <c r="O38" s="22">
        <f>I38-K38</f>
        <v>4350</v>
      </c>
      <c r="P38" s="23">
        <f>N38-O38</f>
        <v>-1797.8900000001304</v>
      </c>
      <c r="Q38" s="24">
        <f>+G38-L38</f>
        <v>-1797.8900000001304</v>
      </c>
      <c r="R38" s="25">
        <f>+Q38+D38</f>
        <v>-1.3028511602897197E-10</v>
      </c>
      <c r="S38" s="26">
        <f>+R38-Q38</f>
        <v>1797.89</v>
      </c>
    </row>
    <row r="39" spans="1:20" s="41" customFormat="1" x14ac:dyDescent="0.2">
      <c r="A39" s="37" t="s">
        <v>44</v>
      </c>
      <c r="B39" s="38">
        <v>1665115.18</v>
      </c>
      <c r="C39" s="38"/>
      <c r="D39" s="38"/>
      <c r="E39" s="38">
        <f>1665115.18-1641745.96</f>
        <v>23369.219999999972</v>
      </c>
      <c r="F39" s="36">
        <v>0</v>
      </c>
      <c r="G39" s="39">
        <f>C39-E39</f>
        <v>-23369.219999999972</v>
      </c>
      <c r="H39" s="44">
        <v>0</v>
      </c>
      <c r="I39" s="40">
        <v>1641745.96</v>
      </c>
      <c r="J39" s="40"/>
      <c r="K39" s="40">
        <v>1665115.18</v>
      </c>
      <c r="L39" s="20">
        <f>+H39+I39+J39-K39</f>
        <v>-23369.219999999972</v>
      </c>
      <c r="M39" s="36">
        <v>1</v>
      </c>
      <c r="N39" s="22">
        <f>G39-H39</f>
        <v>-23369.219999999972</v>
      </c>
      <c r="O39" s="22">
        <f>I39-K39</f>
        <v>-23369.219999999972</v>
      </c>
      <c r="P39" s="23">
        <f>N39-O39</f>
        <v>0</v>
      </c>
      <c r="Q39" s="24">
        <f>+G39-L39</f>
        <v>0</v>
      </c>
      <c r="R39" s="25">
        <f>+Q39+D39</f>
        <v>0</v>
      </c>
      <c r="S39" s="26">
        <f>+R39-Q39</f>
        <v>0</v>
      </c>
    </row>
    <row r="40" spans="1:20" s="41" customFormat="1" x14ac:dyDescent="0.2">
      <c r="A40" s="37" t="s">
        <v>45</v>
      </c>
      <c r="B40" s="38">
        <v>40458140</v>
      </c>
      <c r="C40" s="38">
        <v>26972093.52</v>
      </c>
      <c r="D40" s="38">
        <v>642.71</v>
      </c>
      <c r="E40" s="38">
        <f>23876479.96-391461.45-3021128.54</f>
        <v>20463889.970000003</v>
      </c>
      <c r="F40" s="36">
        <f>E40/C40</f>
        <v>0.75870602906021667</v>
      </c>
      <c r="G40" s="39">
        <f>C40-E40</f>
        <v>6508203.549999997</v>
      </c>
      <c r="H40" s="49">
        <v>3155100.37</v>
      </c>
      <c r="I40" s="40">
        <v>3021128.54</v>
      </c>
      <c r="J40" s="40">
        <v>391461.45</v>
      </c>
      <c r="K40" s="40">
        <f>48749.44+9173.97+920.69</f>
        <v>58844.100000000006</v>
      </c>
      <c r="L40" s="20">
        <f>+H40+I40+J40-K40</f>
        <v>6508846.2600000007</v>
      </c>
      <c r="M40" s="36">
        <f t="shared" si="10"/>
        <v>0.5058040228740126</v>
      </c>
      <c r="N40" s="22">
        <f>G40-H40</f>
        <v>3353103.1799999969</v>
      </c>
      <c r="O40" s="22">
        <f>I40-K40</f>
        <v>2962284.44</v>
      </c>
      <c r="P40" s="23">
        <f>N40-O40</f>
        <v>390818.73999999696</v>
      </c>
      <c r="Q40" s="24">
        <f>+G40-L40</f>
        <v>-642.71000000368804</v>
      </c>
      <c r="R40" s="25">
        <f>+Q40+D40</f>
        <v>-3.688001015689224E-9</v>
      </c>
      <c r="S40" s="26">
        <f>+R40-Q40</f>
        <v>642.71</v>
      </c>
      <c r="T40" s="51"/>
    </row>
    <row r="41" spans="1:20" s="41" customFormat="1" x14ac:dyDescent="0.2">
      <c r="A41" s="37" t="s">
        <v>46</v>
      </c>
      <c r="B41" s="38">
        <f>1247760.16-91610.17</f>
        <v>1156149.99</v>
      </c>
      <c r="C41" s="38"/>
      <c r="D41" s="38"/>
      <c r="E41" s="38">
        <f>1156149.99-1081677.99</f>
        <v>74472</v>
      </c>
      <c r="F41" s="36">
        <v>0</v>
      </c>
      <c r="G41" s="39">
        <f t="shared" ref="G41:G42" si="22">C41-E41</f>
        <v>-74472</v>
      </c>
      <c r="H41" s="44">
        <v>0</v>
      </c>
      <c r="I41" s="40">
        <f>(124507.34+1081677.99)</f>
        <v>1206185.33</v>
      </c>
      <c r="J41" s="40">
        <v>536506.93000000005</v>
      </c>
      <c r="K41" s="40">
        <f>1908774.43-91610.17</f>
        <v>1817164.26</v>
      </c>
      <c r="L41" s="20">
        <f t="shared" ref="L41:L42" si="23">+H41+I41+J41-K41</f>
        <v>-74471.999999999767</v>
      </c>
      <c r="M41" s="36">
        <v>1</v>
      </c>
      <c r="N41" s="22">
        <f t="shared" ref="N41:N42" si="24">G41-H41</f>
        <v>-74472</v>
      </c>
      <c r="O41" s="22">
        <f t="shared" ref="O41:O42" si="25">I41-K41</f>
        <v>-610978.92999999993</v>
      </c>
      <c r="P41" s="23">
        <f t="shared" ref="P41:P42" si="26">N41-O41</f>
        <v>536506.92999999993</v>
      </c>
      <c r="Q41" s="24">
        <f t="shared" ref="Q41:Q42" si="27">+G41-L41</f>
        <v>-2.3283064365386963E-10</v>
      </c>
      <c r="R41" s="25">
        <f t="shared" ref="R41:R42" si="28">+Q41+D41</f>
        <v>-2.3283064365386963E-10</v>
      </c>
      <c r="S41" s="26">
        <f t="shared" ref="S41:S42" si="29">+R41-Q41</f>
        <v>0</v>
      </c>
      <c r="T41" s="51"/>
    </row>
    <row r="42" spans="1:20" s="41" customFormat="1" x14ac:dyDescent="0.2">
      <c r="A42" s="37" t="s">
        <v>47</v>
      </c>
      <c r="B42" s="38">
        <v>20674876</v>
      </c>
      <c r="C42" s="38">
        <v>16539900.800000001</v>
      </c>
      <c r="D42" s="38">
        <v>174192.05</v>
      </c>
      <c r="E42" s="38">
        <f>6908221.51-6908221.51</f>
        <v>0</v>
      </c>
      <c r="F42" s="36">
        <f t="shared" ref="F42" si="30">E42/C42</f>
        <v>0</v>
      </c>
      <c r="G42" s="39">
        <f t="shared" si="22"/>
        <v>16539900.800000001</v>
      </c>
      <c r="H42" s="49">
        <v>10729637.34</v>
      </c>
      <c r="I42" s="40">
        <f>3423963.57+6908221.51</f>
        <v>10332185.08</v>
      </c>
      <c r="J42" s="40"/>
      <c r="K42" s="40">
        <f>4333780.45+13949.12</f>
        <v>4347729.57</v>
      </c>
      <c r="L42" s="20">
        <f t="shared" si="23"/>
        <v>16714092.850000001</v>
      </c>
      <c r="M42" s="36">
        <f t="shared" si="10"/>
        <v>0</v>
      </c>
      <c r="N42" s="22">
        <f t="shared" si="24"/>
        <v>5810263.4600000009</v>
      </c>
      <c r="O42" s="22">
        <f t="shared" si="25"/>
        <v>5984455.5099999998</v>
      </c>
      <c r="P42" s="23">
        <f t="shared" si="26"/>
        <v>-174192.04999999888</v>
      </c>
      <c r="Q42" s="24">
        <f t="shared" si="27"/>
        <v>-174192.05000000075</v>
      </c>
      <c r="R42" s="25">
        <f t="shared" si="28"/>
        <v>-7.5669959187507629E-10</v>
      </c>
      <c r="S42" s="26">
        <f t="shared" si="29"/>
        <v>174192.05</v>
      </c>
    </row>
    <row r="43" spans="1:20" s="41" customFormat="1" x14ac:dyDescent="0.2">
      <c r="A43" s="37" t="s">
        <v>48</v>
      </c>
      <c r="B43" s="38">
        <v>11041756.470000001</v>
      </c>
      <c r="C43" s="38"/>
      <c r="D43" s="38"/>
      <c r="E43" s="38">
        <f>11041756.47-11041756.47</f>
        <v>0</v>
      </c>
      <c r="F43" s="36">
        <v>1</v>
      </c>
      <c r="G43" s="39">
        <f t="shared" si="8"/>
        <v>0</v>
      </c>
      <c r="H43" s="44">
        <v>0</v>
      </c>
      <c r="I43" s="40">
        <f>(10080252.01+11041756.47)</f>
        <v>21122008.48</v>
      </c>
      <c r="J43" s="40"/>
      <c r="K43" s="40">
        <v>21122008.48</v>
      </c>
      <c r="L43" s="20">
        <f t="shared" si="9"/>
        <v>0</v>
      </c>
      <c r="M43" s="36">
        <v>1</v>
      </c>
      <c r="N43" s="22">
        <f t="shared" si="1"/>
        <v>0</v>
      </c>
      <c r="O43" s="22">
        <f t="shared" si="4"/>
        <v>0</v>
      </c>
      <c r="P43" s="23">
        <f t="shared" si="2"/>
        <v>0</v>
      </c>
      <c r="Q43" s="24">
        <f t="shared" si="3"/>
        <v>0</v>
      </c>
      <c r="R43" s="25">
        <f t="shared" si="5"/>
        <v>0</v>
      </c>
      <c r="S43" s="26">
        <f t="shared" si="6"/>
        <v>0</v>
      </c>
    </row>
    <row r="44" spans="1:20" s="41" customFormat="1" x14ac:dyDescent="0.2">
      <c r="A44" s="37" t="s">
        <v>49</v>
      </c>
      <c r="B44" s="38"/>
      <c r="C44" s="38"/>
      <c r="D44" s="38"/>
      <c r="E44" s="38">
        <v>0</v>
      </c>
      <c r="F44" s="36">
        <v>1</v>
      </c>
      <c r="G44" s="39">
        <f t="shared" si="8"/>
        <v>0</v>
      </c>
      <c r="H44" s="49">
        <v>1</v>
      </c>
      <c r="I44" s="40"/>
      <c r="J44" s="40"/>
      <c r="K44" s="40">
        <v>1</v>
      </c>
      <c r="L44" s="20">
        <f t="shared" si="9"/>
        <v>0</v>
      </c>
      <c r="M44" s="52">
        <v>0</v>
      </c>
      <c r="N44" s="22">
        <f t="shared" si="1"/>
        <v>-1</v>
      </c>
      <c r="O44" s="22">
        <f t="shared" si="4"/>
        <v>-1</v>
      </c>
      <c r="P44" s="23">
        <f t="shared" si="2"/>
        <v>0</v>
      </c>
      <c r="Q44" s="24">
        <f t="shared" si="3"/>
        <v>0</v>
      </c>
      <c r="R44" s="25">
        <f t="shared" si="5"/>
        <v>0</v>
      </c>
      <c r="S44" s="26">
        <f t="shared" si="6"/>
        <v>0</v>
      </c>
    </row>
    <row r="45" spans="1:20" s="41" customFormat="1" x14ac:dyDescent="0.2">
      <c r="A45" s="37" t="s">
        <v>50</v>
      </c>
      <c r="B45" s="38">
        <v>6488404.7999999998</v>
      </c>
      <c r="C45" s="38">
        <f>1081400.8+4325603.2</f>
        <v>5407004</v>
      </c>
      <c r="D45" s="38">
        <v>0</v>
      </c>
      <c r="E45" s="38">
        <f>3776486.98-674096.86</f>
        <v>3102390.12</v>
      </c>
      <c r="F45" s="36">
        <f>E45/C45</f>
        <v>0.57377248472536735</v>
      </c>
      <c r="G45" s="39">
        <f t="shared" si="8"/>
        <v>2304613.88</v>
      </c>
      <c r="H45" s="49">
        <f>477001.52+1153602.17</f>
        <v>1630603.69</v>
      </c>
      <c r="I45" s="40"/>
      <c r="J45" s="40">
        <v>674096.86</v>
      </c>
      <c r="K45" s="40">
        <v>86.67</v>
      </c>
      <c r="L45" s="20">
        <f t="shared" si="9"/>
        <v>2304613.88</v>
      </c>
      <c r="M45" s="36">
        <f t="shared" ref="M45" si="31">E45/B45</f>
        <v>0.47814373727113946</v>
      </c>
      <c r="N45" s="22"/>
      <c r="O45" s="22"/>
      <c r="P45" s="23"/>
      <c r="Q45" s="24"/>
      <c r="R45" s="25"/>
      <c r="S45" s="26"/>
    </row>
    <row r="46" spans="1:20" s="41" customFormat="1" x14ac:dyDescent="0.2">
      <c r="A46" s="37" t="s">
        <v>51</v>
      </c>
      <c r="B46" s="47">
        <v>0</v>
      </c>
      <c r="C46" s="38">
        <v>0</v>
      </c>
      <c r="D46" s="38"/>
      <c r="E46" s="38">
        <v>0</v>
      </c>
      <c r="F46" s="36">
        <v>0</v>
      </c>
      <c r="G46" s="39">
        <f t="shared" si="8"/>
        <v>0</v>
      </c>
      <c r="H46" s="48">
        <v>426656.29</v>
      </c>
      <c r="I46" s="40"/>
      <c r="J46" s="40"/>
      <c r="K46" s="40">
        <f>413520.62+0.47+13135.2</f>
        <v>426656.29</v>
      </c>
      <c r="L46" s="20">
        <f t="shared" si="9"/>
        <v>0</v>
      </c>
      <c r="M46" s="36">
        <v>0</v>
      </c>
      <c r="N46" s="22">
        <f t="shared" si="1"/>
        <v>-426656.29</v>
      </c>
      <c r="O46" s="22">
        <f t="shared" si="4"/>
        <v>-426656.29</v>
      </c>
      <c r="P46" s="23">
        <f t="shared" si="2"/>
        <v>0</v>
      </c>
      <c r="Q46" s="24">
        <f t="shared" si="3"/>
        <v>0</v>
      </c>
      <c r="R46" s="25">
        <f t="shared" si="5"/>
        <v>0</v>
      </c>
      <c r="S46" s="26">
        <f t="shared" si="6"/>
        <v>0</v>
      </c>
    </row>
    <row r="47" spans="1:20" x14ac:dyDescent="0.2">
      <c r="A47" s="53"/>
      <c r="B47" s="54"/>
      <c r="C47" s="38"/>
      <c r="D47" s="55"/>
      <c r="E47" s="38"/>
      <c r="F47" s="36"/>
      <c r="G47" s="39"/>
      <c r="H47" s="56"/>
      <c r="I47" s="57"/>
      <c r="J47" s="57"/>
      <c r="K47" s="57"/>
      <c r="L47" s="20"/>
      <c r="M47" s="36"/>
      <c r="N47" s="58"/>
      <c r="O47" s="58"/>
      <c r="P47" s="59"/>
      <c r="Q47" s="24"/>
      <c r="R47" s="25"/>
      <c r="S47" s="15"/>
    </row>
    <row r="48" spans="1:20" ht="13.5" x14ac:dyDescent="0.25">
      <c r="A48" s="60" t="s">
        <v>52</v>
      </c>
      <c r="B48" s="61">
        <f>B14+SUM(B21:B47)</f>
        <v>181647307.85999998</v>
      </c>
      <c r="C48" s="61">
        <f>C14+SUM(C21:C47)</f>
        <v>125442608.81999999</v>
      </c>
      <c r="D48" s="61">
        <f>D14+SUM(D21:D47)</f>
        <v>446403.92000000004</v>
      </c>
      <c r="E48" s="61">
        <f>E14+SUM(E21:E47)</f>
        <v>83630860.540000007</v>
      </c>
      <c r="F48" s="62"/>
      <c r="G48" s="61">
        <f t="shared" ref="G48:L48" si="32">G14+SUM(G21:G47)</f>
        <v>41811748.279999994</v>
      </c>
      <c r="H48" s="61">
        <f t="shared" si="32"/>
        <v>31269070.310000002</v>
      </c>
      <c r="I48" s="61">
        <f t="shared" si="32"/>
        <v>48192948.420000002</v>
      </c>
      <c r="J48" s="61">
        <f t="shared" si="32"/>
        <v>4832407.5200000005</v>
      </c>
      <c r="K48" s="61">
        <f t="shared" si="32"/>
        <v>42036274.049999997</v>
      </c>
      <c r="L48" s="61">
        <f t="shared" si="32"/>
        <v>42258152.200000003</v>
      </c>
      <c r="M48" s="61">
        <v>0</v>
      </c>
      <c r="N48" s="63">
        <f>SUM(N13:N13)+N14+SUM(N22:N47)</f>
        <v>9946120.9799999949</v>
      </c>
      <c r="O48" s="63">
        <f>SUM(O13:O13)+O14+SUM(O22:O47)</f>
        <v>8533284.3999999985</v>
      </c>
      <c r="P48" s="63">
        <f>SUM(P13:P13)+P14+SUM(P22:P47)</f>
        <v>1412836.5799999952</v>
      </c>
      <c r="Q48" s="63">
        <f>SUM(Q13:Q13)+Q14+SUM(Q22:Q47)</f>
        <v>-446403.92000000714</v>
      </c>
      <c r="R48" s="63">
        <f>SUM(R13:R13)+R14+SUM(R22:R47)</f>
        <v>194574.58999999266</v>
      </c>
      <c r="S48" s="63">
        <f>S14+SUM(S22:S47)</f>
        <v>446403.92000000004</v>
      </c>
    </row>
    <row r="49" spans="1:13" x14ac:dyDescent="0.2">
      <c r="C49" s="11"/>
      <c r="G49" s="11"/>
      <c r="H49" s="64">
        <f>1667.9+135352.11+165.13+9960.79+160174.54+2253.4-26112.24-16.59+2623.76+853.35+107394.87</f>
        <v>394317.01999999996</v>
      </c>
      <c r="I49" s="11"/>
      <c r="J49" s="11"/>
      <c r="K49" s="11"/>
      <c r="L49" s="11"/>
    </row>
    <row r="50" spans="1:13" x14ac:dyDescent="0.2">
      <c r="C50" s="157" t="s">
        <v>53</v>
      </c>
      <c r="D50" s="157"/>
      <c r="E50" s="157"/>
      <c r="F50" s="157"/>
      <c r="G50" s="157"/>
      <c r="H50" s="157"/>
      <c r="I50" s="157"/>
      <c r="J50" s="65"/>
    </row>
    <row r="51" spans="1:13" ht="21.75" customHeight="1" x14ac:dyDescent="0.2">
      <c r="C51" s="65"/>
      <c r="D51" s="65"/>
      <c r="E51" s="65"/>
      <c r="F51" s="65"/>
      <c r="G51" s="65"/>
      <c r="H51" s="65"/>
      <c r="I51" s="65"/>
      <c r="J51" s="65"/>
    </row>
    <row r="52" spans="1:13" ht="21.75" customHeight="1" x14ac:dyDescent="0.2">
      <c r="B52" s="158" t="s">
        <v>54</v>
      </c>
      <c r="C52" s="158"/>
      <c r="D52" s="153" t="s">
        <v>55</v>
      </c>
      <c r="E52" s="154"/>
      <c r="F52" s="155"/>
      <c r="G52" s="159" t="s">
        <v>56</v>
      </c>
      <c r="H52" s="159"/>
      <c r="I52" s="66" t="s">
        <v>10</v>
      </c>
      <c r="J52" s="65"/>
    </row>
    <row r="53" spans="1:13" ht="21.75" customHeight="1" x14ac:dyDescent="0.2">
      <c r="B53" s="152" t="s">
        <v>57</v>
      </c>
      <c r="C53" s="152"/>
      <c r="D53" s="153"/>
      <c r="E53" s="154"/>
      <c r="F53" s="155"/>
      <c r="G53" s="156"/>
      <c r="H53" s="156"/>
      <c r="I53" s="67">
        <v>0</v>
      </c>
      <c r="J53" s="65"/>
    </row>
    <row r="54" spans="1:13" ht="21.75" customHeight="1" x14ac:dyDescent="0.2">
      <c r="B54" s="159" t="s">
        <v>58</v>
      </c>
      <c r="C54" s="159"/>
      <c r="D54" s="153"/>
      <c r="E54" s="154"/>
      <c r="F54" s="155"/>
      <c r="G54" s="156"/>
      <c r="H54" s="156"/>
      <c r="I54" s="67">
        <v>0</v>
      </c>
      <c r="J54" s="65"/>
    </row>
    <row r="55" spans="1:13" ht="24.75" customHeight="1" x14ac:dyDescent="0.2">
      <c r="B55" s="159" t="s">
        <v>59</v>
      </c>
      <c r="C55" s="159"/>
      <c r="D55" s="161">
        <v>15000000</v>
      </c>
      <c r="E55" s="162"/>
      <c r="F55" s="163"/>
      <c r="G55" s="156">
        <v>9006050.5399999991</v>
      </c>
      <c r="H55" s="156"/>
      <c r="I55" s="67">
        <f>G55/D55</f>
        <v>0.60040336933333327</v>
      </c>
      <c r="J55" s="65"/>
    </row>
    <row r="56" spans="1:13" ht="15.75" customHeight="1" x14ac:dyDescent="0.2">
      <c r="B56" s="159" t="s">
        <v>60</v>
      </c>
      <c r="C56" s="159"/>
      <c r="D56" s="153"/>
      <c r="E56" s="154"/>
      <c r="F56" s="155"/>
      <c r="G56" s="156"/>
      <c r="H56" s="156"/>
      <c r="I56" s="67"/>
      <c r="J56" s="65"/>
    </row>
    <row r="57" spans="1:13" ht="15.75" customHeight="1" x14ac:dyDescent="0.2">
      <c r="B57" s="65"/>
      <c r="C57" s="65"/>
      <c r="D57" s="65"/>
      <c r="E57" s="65"/>
      <c r="F57" s="65"/>
      <c r="G57" s="68"/>
      <c r="H57" s="68"/>
      <c r="I57" s="69"/>
      <c r="J57" s="69"/>
    </row>
    <row r="58" spans="1:13" ht="15.75" customHeight="1" x14ac:dyDescent="0.2"/>
    <row r="59" spans="1:13" s="71" customFormat="1" ht="21" customHeight="1" x14ac:dyDescent="0.3">
      <c r="A59" s="6"/>
      <c r="B59" s="164" t="s">
        <v>61</v>
      </c>
      <c r="C59" s="164"/>
      <c r="D59" s="70"/>
      <c r="E59" s="1"/>
      <c r="F59" s="160" t="s">
        <v>62</v>
      </c>
      <c r="G59" s="160"/>
      <c r="H59" s="160"/>
      <c r="I59" s="1"/>
      <c r="J59" s="1"/>
      <c r="K59" s="160" t="s">
        <v>63</v>
      </c>
      <c r="L59" s="160"/>
      <c r="M59" s="160"/>
    </row>
    <row r="60" spans="1:13" s="71" customFormat="1" ht="21" customHeight="1" x14ac:dyDescent="0.3">
      <c r="A60" s="6"/>
      <c r="B60" s="70"/>
      <c r="C60" s="70"/>
      <c r="D60" s="70"/>
      <c r="E60" s="1"/>
      <c r="F60" s="1"/>
      <c r="G60" s="72"/>
      <c r="H60" s="72"/>
      <c r="I60" s="1"/>
      <c r="J60" s="1"/>
      <c r="K60" s="72"/>
      <c r="L60" s="72"/>
      <c r="M60" s="1"/>
    </row>
    <row r="61" spans="1:13" s="71" customFormat="1" ht="21" customHeight="1" x14ac:dyDescent="0.3">
      <c r="A61" s="6"/>
      <c r="B61" s="70"/>
      <c r="C61" s="70"/>
      <c r="D61" s="70"/>
      <c r="E61" s="1"/>
      <c r="F61" s="1"/>
      <c r="G61" s="72"/>
      <c r="H61" s="72"/>
      <c r="I61" s="1"/>
      <c r="J61" s="1"/>
      <c r="K61" s="72"/>
      <c r="L61" s="72"/>
      <c r="M61" s="1"/>
    </row>
    <row r="62" spans="1:13" s="71" customFormat="1" ht="21" customHeight="1" x14ac:dyDescent="0.3">
      <c r="A62" s="73"/>
      <c r="B62" s="165" t="s">
        <v>64</v>
      </c>
      <c r="C62" s="165"/>
      <c r="D62" s="70"/>
      <c r="E62" s="74"/>
      <c r="F62" s="166" t="s">
        <v>65</v>
      </c>
      <c r="G62" s="166"/>
      <c r="H62" s="166"/>
      <c r="I62" s="75"/>
      <c r="J62" s="75"/>
      <c r="K62" s="166" t="s">
        <v>66</v>
      </c>
      <c r="L62" s="166"/>
      <c r="M62" s="166"/>
    </row>
    <row r="63" spans="1:13" s="71" customFormat="1" ht="15.75" customHeight="1" x14ac:dyDescent="0.3">
      <c r="A63" s="73"/>
      <c r="B63" s="167" t="s">
        <v>67</v>
      </c>
      <c r="C63" s="167"/>
      <c r="D63" s="74"/>
      <c r="E63" s="1"/>
      <c r="F63" s="167" t="s">
        <v>68</v>
      </c>
      <c r="G63" s="167"/>
      <c r="H63" s="167"/>
      <c r="I63" s="1"/>
      <c r="J63" s="1"/>
      <c r="K63" s="167" t="s">
        <v>69</v>
      </c>
      <c r="L63" s="167"/>
      <c r="M63" s="167"/>
    </row>
    <row r="64" spans="1:13" ht="15.75" customHeight="1" x14ac:dyDescent="0.25">
      <c r="K64" s="76"/>
      <c r="L64" s="76"/>
      <c r="M64" s="76"/>
    </row>
    <row r="65" spans="1:13" ht="15.75" customHeight="1" x14ac:dyDescent="0.2">
      <c r="A65" s="77" t="s">
        <v>70</v>
      </c>
    </row>
    <row r="66" spans="1:13" ht="15.75" customHeight="1" x14ac:dyDescent="0.2">
      <c r="A66" s="77"/>
    </row>
    <row r="67" spans="1:13" ht="15.75" customHeight="1" x14ac:dyDescent="0.2">
      <c r="A67" s="77"/>
    </row>
    <row r="68" spans="1:13" ht="15.75" customHeight="1" x14ac:dyDescent="0.2">
      <c r="A68" s="77"/>
    </row>
    <row r="69" spans="1:13" ht="15.75" customHeight="1" x14ac:dyDescent="0.25">
      <c r="A69" s="170" t="s">
        <v>1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</row>
    <row r="70" spans="1:13" ht="15.75" customHeight="1" x14ac:dyDescent="0.2">
      <c r="B70" s="8"/>
      <c r="C70" s="8"/>
      <c r="D70" s="8"/>
      <c r="E70" s="8"/>
      <c r="F70" s="8"/>
      <c r="G70" s="8"/>
      <c r="H70" s="8"/>
    </row>
    <row r="71" spans="1:13" s="78" customFormat="1" ht="10.5" customHeight="1" x14ac:dyDescent="0.25">
      <c r="A71" s="148" t="s">
        <v>71</v>
      </c>
      <c r="B71" s="148"/>
      <c r="C71" s="148"/>
      <c r="D71" s="3"/>
      <c r="E71" s="148" t="s">
        <v>72</v>
      </c>
      <c r="F71" s="148"/>
      <c r="G71" s="148"/>
      <c r="H71" s="148"/>
      <c r="I71" s="148"/>
      <c r="J71" s="148"/>
      <c r="K71" s="148"/>
      <c r="L71" s="148"/>
      <c r="M71" s="148"/>
    </row>
    <row r="72" spans="1:13" ht="9.75" customHeight="1" x14ac:dyDescent="0.2">
      <c r="A72" s="79"/>
      <c r="B72" s="74"/>
      <c r="C72" s="80"/>
      <c r="D72" s="80"/>
      <c r="F72" s="74"/>
      <c r="G72" s="74"/>
      <c r="H72" s="74"/>
    </row>
    <row r="73" spans="1:13" ht="15.75" customHeight="1" x14ac:dyDescent="0.2">
      <c r="A73" s="81" t="s">
        <v>73</v>
      </c>
      <c r="B73" s="82"/>
      <c r="C73" s="82"/>
      <c r="D73" s="82"/>
      <c r="E73" s="171" t="s">
        <v>74</v>
      </c>
      <c r="F73" s="171"/>
      <c r="G73" s="171"/>
      <c r="H73" s="171"/>
      <c r="I73" s="171"/>
      <c r="J73" s="83"/>
    </row>
    <row r="74" spans="1:13" ht="15.75" customHeight="1" x14ac:dyDescent="0.2">
      <c r="A74" s="85"/>
      <c r="B74" s="85"/>
      <c r="C74" s="85"/>
      <c r="D74" s="85"/>
      <c r="E74" s="85"/>
      <c r="F74" s="84"/>
      <c r="G74" s="84"/>
    </row>
    <row r="75" spans="1:13" ht="15.75" customHeight="1" x14ac:dyDescent="0.25">
      <c r="A75" s="172" t="s">
        <v>75</v>
      </c>
      <c r="B75" s="172"/>
      <c r="C75" s="82"/>
      <c r="D75" s="82"/>
      <c r="E75" s="171" t="s">
        <v>76</v>
      </c>
      <c r="F75" s="171"/>
      <c r="G75" s="171"/>
      <c r="H75" s="171"/>
      <c r="I75" s="171"/>
      <c r="J75" s="83"/>
      <c r="K75" s="86"/>
      <c r="L75" s="86"/>
      <c r="M75" s="86"/>
    </row>
    <row r="76" spans="1:13" ht="15.75" customHeight="1" x14ac:dyDescent="0.2">
      <c r="A76" s="73"/>
      <c r="B76" s="7"/>
    </row>
    <row r="77" spans="1:13" ht="15.75" customHeight="1" x14ac:dyDescent="0.25">
      <c r="A77" s="87" t="s">
        <v>77</v>
      </c>
      <c r="B77" s="88"/>
      <c r="E77" s="89" t="s">
        <v>78</v>
      </c>
    </row>
    <row r="78" spans="1:13" ht="15.75" hidden="1" customHeight="1" x14ac:dyDescent="0.2">
      <c r="A78" s="73"/>
      <c r="B78" s="7"/>
    </row>
    <row r="79" spans="1:13" ht="15.75" customHeight="1" x14ac:dyDescent="0.25">
      <c r="A79" s="90" t="s">
        <v>79</v>
      </c>
      <c r="B79" s="88"/>
      <c r="E79" s="173" t="s">
        <v>80</v>
      </c>
      <c r="F79" s="173"/>
      <c r="G79" s="173"/>
      <c r="H79" s="173"/>
      <c r="I79" s="173"/>
      <c r="J79" s="173"/>
      <c r="K79" s="173"/>
      <c r="L79" s="173"/>
      <c r="M79" s="173"/>
    </row>
    <row r="80" spans="1:13" ht="15.75" customHeight="1" x14ac:dyDescent="0.2">
      <c r="A80" s="73"/>
      <c r="B80" s="7"/>
      <c r="E80" s="91"/>
    </row>
    <row r="81" spans="1:13" ht="15.75" x14ac:dyDescent="0.25">
      <c r="A81" s="90" t="s">
        <v>81</v>
      </c>
      <c r="B81" s="88"/>
      <c r="E81" s="174" t="s">
        <v>82</v>
      </c>
      <c r="F81" s="174"/>
      <c r="G81" s="174"/>
      <c r="H81" s="174"/>
      <c r="I81" s="174"/>
      <c r="J81" s="174"/>
      <c r="K81" s="174"/>
      <c r="L81" s="174"/>
      <c r="M81" s="174"/>
    </row>
    <row r="82" spans="1:13" ht="15.75" x14ac:dyDescent="0.25">
      <c r="A82" s="73"/>
      <c r="B82" s="7"/>
      <c r="E82" s="89"/>
    </row>
    <row r="83" spans="1:13" ht="15.75" customHeight="1" x14ac:dyDescent="0.25">
      <c r="A83" s="90" t="s">
        <v>8</v>
      </c>
      <c r="B83" s="88"/>
      <c r="E83" s="175" t="s">
        <v>83</v>
      </c>
      <c r="F83" s="175"/>
      <c r="G83" s="175"/>
      <c r="H83" s="175"/>
      <c r="I83" s="175"/>
      <c r="J83" s="175"/>
      <c r="K83" s="175"/>
      <c r="L83" s="175"/>
      <c r="M83" s="175"/>
    </row>
    <row r="84" spans="1:13" ht="15.75" customHeight="1" x14ac:dyDescent="0.25">
      <c r="A84" s="73"/>
      <c r="B84" s="7"/>
      <c r="E84" s="89"/>
    </row>
    <row r="85" spans="1:13" ht="15.75" customHeight="1" x14ac:dyDescent="0.25">
      <c r="A85" s="90" t="s">
        <v>84</v>
      </c>
      <c r="B85" s="88"/>
      <c r="E85" s="175" t="s">
        <v>85</v>
      </c>
      <c r="F85" s="175"/>
      <c r="G85" s="175"/>
      <c r="H85" s="175"/>
      <c r="I85" s="175"/>
      <c r="J85" s="175"/>
      <c r="K85" s="175"/>
      <c r="L85" s="175"/>
      <c r="M85" s="175"/>
    </row>
    <row r="86" spans="1:13" ht="15.75" customHeight="1" x14ac:dyDescent="0.2">
      <c r="A86" s="92"/>
      <c r="B86" s="84"/>
    </row>
    <row r="87" spans="1:13" ht="15.75" customHeight="1" x14ac:dyDescent="0.25">
      <c r="A87" s="93" t="s">
        <v>10</v>
      </c>
      <c r="B87" s="88"/>
      <c r="E87" s="173" t="s">
        <v>86</v>
      </c>
      <c r="F87" s="176"/>
      <c r="G87" s="176"/>
      <c r="H87" s="176"/>
      <c r="I87" s="176"/>
      <c r="J87" s="176"/>
      <c r="K87" s="176"/>
      <c r="L87" s="176"/>
      <c r="M87" s="176"/>
    </row>
    <row r="88" spans="1:13" ht="15.75" customHeight="1" x14ac:dyDescent="0.2">
      <c r="A88" s="73"/>
      <c r="B88" s="7"/>
    </row>
    <row r="89" spans="1:13" ht="5.0999999999999996" customHeight="1" x14ac:dyDescent="0.25">
      <c r="A89" s="87" t="s">
        <v>87</v>
      </c>
      <c r="B89" s="88"/>
      <c r="E89" s="89" t="s">
        <v>88</v>
      </c>
    </row>
    <row r="90" spans="1:13" ht="15.75" customHeight="1" x14ac:dyDescent="0.2">
      <c r="A90" s="73"/>
      <c r="B90" s="7"/>
    </row>
    <row r="91" spans="1:13" ht="5.0999999999999996" customHeight="1" x14ac:dyDescent="0.25">
      <c r="A91" s="94" t="s">
        <v>89</v>
      </c>
      <c r="B91" s="88"/>
      <c r="E91" s="95" t="s">
        <v>90</v>
      </c>
    </row>
    <row r="92" spans="1:13" ht="15.75" customHeight="1" x14ac:dyDescent="0.2">
      <c r="A92" s="73"/>
      <c r="B92" s="7"/>
    </row>
    <row r="93" spans="1:13" ht="5.0999999999999996" customHeight="1" x14ac:dyDescent="0.25">
      <c r="A93" s="87" t="s">
        <v>91</v>
      </c>
      <c r="B93" s="88"/>
      <c r="E93" s="89" t="s">
        <v>92</v>
      </c>
    </row>
    <row r="94" spans="1:13" ht="47.25" customHeight="1" x14ac:dyDescent="0.2">
      <c r="A94" s="73"/>
      <c r="B94" s="7"/>
    </row>
    <row r="95" spans="1:13" ht="5.0999999999999996" customHeight="1" x14ac:dyDescent="0.25">
      <c r="A95" s="87" t="s">
        <v>93</v>
      </c>
      <c r="B95" s="88"/>
      <c r="E95" s="89" t="s">
        <v>94</v>
      </c>
    </row>
    <row r="96" spans="1:13" ht="47.25" customHeight="1" x14ac:dyDescent="0.25">
      <c r="A96" s="87"/>
      <c r="B96" s="88"/>
      <c r="E96" s="89"/>
    </row>
    <row r="97" spans="1:21" ht="5.0999999999999996" customHeight="1" x14ac:dyDescent="0.25">
      <c r="A97" s="94" t="s">
        <v>95</v>
      </c>
      <c r="B97" s="88"/>
      <c r="E97" s="95" t="s">
        <v>96</v>
      </c>
    </row>
    <row r="98" spans="1:21" ht="49.5" customHeight="1" x14ac:dyDescent="0.2">
      <c r="A98" s="73"/>
      <c r="B98" s="7"/>
    </row>
    <row r="99" spans="1:21" ht="5.0999999999999996" customHeight="1" x14ac:dyDescent="0.25">
      <c r="A99" s="96" t="s">
        <v>97</v>
      </c>
      <c r="B99" s="88"/>
      <c r="E99" s="168" t="s">
        <v>98</v>
      </c>
      <c r="F99" s="169"/>
      <c r="G99" s="169"/>
      <c r="H99" s="169"/>
      <c r="I99" s="169"/>
      <c r="J99" s="169"/>
      <c r="K99" s="169"/>
      <c r="L99" s="169"/>
      <c r="M99" s="169"/>
    </row>
    <row r="100" spans="1:21" ht="49.5" customHeight="1" x14ac:dyDescent="0.2">
      <c r="A100" s="73"/>
      <c r="B100" s="7"/>
    </row>
    <row r="101" spans="1:21" ht="5.0999999999999996" customHeight="1" x14ac:dyDescent="0.25">
      <c r="A101" s="87" t="s">
        <v>99</v>
      </c>
      <c r="B101" s="88"/>
      <c r="E101" s="89" t="s">
        <v>100</v>
      </c>
    </row>
    <row r="102" spans="1:21" ht="30.75" customHeight="1" x14ac:dyDescent="0.2">
      <c r="A102" s="73"/>
      <c r="B102" s="7"/>
    </row>
    <row r="103" spans="1:21" ht="5.0999999999999996" customHeight="1" x14ac:dyDescent="0.25">
      <c r="A103" s="87" t="s">
        <v>101</v>
      </c>
      <c r="B103" s="88"/>
      <c r="E103" s="89" t="s">
        <v>102</v>
      </c>
    </row>
    <row r="104" spans="1:21" ht="15.75" customHeight="1" x14ac:dyDescent="0.2">
      <c r="A104" s="73"/>
      <c r="B104" s="7"/>
    </row>
    <row r="105" spans="1:21" ht="5.0999999999999996" customHeight="1" x14ac:dyDescent="0.25">
      <c r="A105" s="87" t="s">
        <v>103</v>
      </c>
      <c r="B105" s="88"/>
      <c r="E105" s="89" t="s">
        <v>104</v>
      </c>
    </row>
    <row r="106" spans="1:21" ht="15.75" customHeight="1" x14ac:dyDescent="0.2">
      <c r="A106" s="73"/>
      <c r="B106" s="7"/>
    </row>
    <row r="107" spans="1:21" ht="5.0999999999999996" customHeight="1" x14ac:dyDescent="0.25">
      <c r="A107" s="87" t="s">
        <v>105</v>
      </c>
      <c r="B107" s="88"/>
      <c r="E107" s="89" t="s">
        <v>106</v>
      </c>
    </row>
    <row r="108" spans="1:21" ht="15.75" customHeight="1" x14ac:dyDescent="0.2">
      <c r="A108" s="73"/>
      <c r="B108" s="7"/>
    </row>
    <row r="109" spans="1:21" ht="5.0999999999999996" customHeight="1" x14ac:dyDescent="0.25">
      <c r="A109" s="97" t="s">
        <v>17</v>
      </c>
      <c r="B109" s="88"/>
      <c r="E109" s="89" t="s">
        <v>107</v>
      </c>
    </row>
    <row r="110" spans="1:21" ht="15.75" customHeight="1" x14ac:dyDescent="0.2"/>
    <row r="111" spans="1:21" ht="5.0999999999999996" customHeight="1" x14ac:dyDescent="0.2"/>
    <row r="112" spans="1:21" s="6" customFormat="1" ht="15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s="6" customFormat="1" ht="5.0999999999999996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s="6" customFormat="1" ht="37.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s="6" customFormat="1" ht="5.0999999999999996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s="6" customFormat="1" ht="15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s="6" customFormat="1" ht="5.0999999999999996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s="6" customFormat="1" ht="15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s="6" customFormat="1" ht="5.0999999999999996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s="6" customFormat="1" ht="15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s="6" customFormat="1" ht="5.0999999999999996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s="6" customFormat="1" ht="15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s="6" customFormat="1" ht="5.0999999999999996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s="6" customFormat="1" ht="15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</sheetData>
  <mergeCells count="54">
    <mergeCell ref="E99:M99"/>
    <mergeCell ref="A69:M69"/>
    <mergeCell ref="A71:C71"/>
    <mergeCell ref="E71:M71"/>
    <mergeCell ref="E73:I73"/>
    <mergeCell ref="A75:B75"/>
    <mergeCell ref="E75:I75"/>
    <mergeCell ref="E79:M79"/>
    <mergeCell ref="E81:M81"/>
    <mergeCell ref="E83:M83"/>
    <mergeCell ref="E85:M85"/>
    <mergeCell ref="E87:M87"/>
    <mergeCell ref="B62:C62"/>
    <mergeCell ref="F62:H62"/>
    <mergeCell ref="K62:M62"/>
    <mergeCell ref="B63:C63"/>
    <mergeCell ref="F63:H63"/>
    <mergeCell ref="K63:M63"/>
    <mergeCell ref="K59:M59"/>
    <mergeCell ref="B54:C54"/>
    <mergeCell ref="D54:F54"/>
    <mergeCell ref="G54:H54"/>
    <mergeCell ref="B55:C55"/>
    <mergeCell ref="D55:F55"/>
    <mergeCell ref="G55:H55"/>
    <mergeCell ref="B56:C56"/>
    <mergeCell ref="D56:F56"/>
    <mergeCell ref="G56:H56"/>
    <mergeCell ref="B59:C59"/>
    <mergeCell ref="F59:H59"/>
    <mergeCell ref="L11:L12"/>
    <mergeCell ref="C50:I50"/>
    <mergeCell ref="B52:C52"/>
    <mergeCell ref="D52:F52"/>
    <mergeCell ref="G52:H52"/>
    <mergeCell ref="I11:I12"/>
    <mergeCell ref="J11:J12"/>
    <mergeCell ref="K11:K12"/>
    <mergeCell ref="B53:C53"/>
    <mergeCell ref="D53:F53"/>
    <mergeCell ref="G53:H53"/>
    <mergeCell ref="F11:F12"/>
    <mergeCell ref="G11:G12"/>
    <mergeCell ref="H11:H12"/>
    <mergeCell ref="A4:M4"/>
    <mergeCell ref="A5:M5"/>
    <mergeCell ref="A6:M6"/>
    <mergeCell ref="C10:G10"/>
    <mergeCell ref="H10:L10"/>
    <mergeCell ref="A11:A12"/>
    <mergeCell ref="B11:B12"/>
    <mergeCell ref="C11:C12"/>
    <mergeCell ref="D11:D12"/>
    <mergeCell ref="E11:E12"/>
  </mergeCells>
  <printOptions horizontalCentered="1" verticalCentered="1"/>
  <pageMargins left="0.19685039370078741" right="0.19685039370078741" top="0.19685039370078741" bottom="0.19685039370078741" header="0" footer="0.19685039370078741"/>
  <pageSetup scale="60" orientation="landscape" r:id="rId1"/>
  <headerFooter alignWithMargins="0">
    <oddFooter>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0"/>
  <sheetViews>
    <sheetView topLeftCell="A9" workbookViewId="0">
      <pane xSplit="2" ySplit="1" topLeftCell="C10" activePane="bottomRight" state="frozen"/>
      <selection activeCell="M45" sqref="M45"/>
      <selection pane="topRight" activeCell="M45" sqref="M45"/>
      <selection pane="bottomLeft" activeCell="M45" sqref="M45"/>
      <selection pane="bottomRight" activeCell="A9" sqref="A1:XFD1048576"/>
    </sheetView>
  </sheetViews>
  <sheetFormatPr baseColWidth="10" defaultRowHeight="12.75" x14ac:dyDescent="0.2"/>
  <cols>
    <col min="1" max="1" width="2.7109375" customWidth="1"/>
    <col min="2" max="2" width="24.5703125" customWidth="1"/>
    <col min="3" max="3" width="12.28515625" customWidth="1"/>
    <col min="4" max="4" width="10.85546875" customWidth="1"/>
    <col min="5" max="8" width="12.28515625" customWidth="1"/>
    <col min="9" max="10" width="14" customWidth="1"/>
    <col min="11" max="12" width="10.85546875" customWidth="1"/>
    <col min="13" max="14" width="11.28515625" customWidth="1"/>
    <col min="15" max="15" width="14" customWidth="1"/>
    <col min="16" max="16" width="12" customWidth="1"/>
    <col min="17" max="19" width="12.140625" customWidth="1"/>
  </cols>
  <sheetData>
    <row r="1" spans="2:19" s="101" customFormat="1" ht="11.25" x14ac:dyDescent="0.2"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</row>
    <row r="2" spans="2:19" s="101" customFormat="1" ht="11.25" x14ac:dyDescent="0.2">
      <c r="B2" s="177" t="s">
        <v>108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9"/>
    </row>
    <row r="3" spans="2:19" s="101" customFormat="1" ht="11.25" x14ac:dyDescent="0.2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4"/>
    </row>
    <row r="4" spans="2:19" s="101" customFormat="1" ht="11.25" x14ac:dyDescent="0.2">
      <c r="B4" s="177" t="s">
        <v>109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9"/>
    </row>
    <row r="5" spans="2:19" s="101" customFormat="1" ht="11.25" x14ac:dyDescent="0.2">
      <c r="B5" s="140"/>
      <c r="C5" s="141"/>
      <c r="D5" s="141"/>
      <c r="E5" s="141"/>
      <c r="F5" s="141"/>
      <c r="G5" s="141"/>
      <c r="H5" s="141"/>
      <c r="I5" s="105"/>
      <c r="J5" s="105"/>
      <c r="K5" s="141"/>
      <c r="L5" s="141"/>
      <c r="M5" s="105"/>
      <c r="N5" s="105"/>
      <c r="O5" s="105"/>
      <c r="P5" s="105"/>
      <c r="Q5" s="105"/>
      <c r="R5" s="105"/>
      <c r="S5" s="106"/>
    </row>
    <row r="6" spans="2:19" s="101" customFormat="1" ht="12" thickBot="1" x14ac:dyDescent="0.25">
      <c r="B6" s="180" t="s">
        <v>156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2"/>
    </row>
    <row r="7" spans="2:19" s="101" customFormat="1" ht="12" thickBot="1" x14ac:dyDescent="0.25"/>
    <row r="8" spans="2:19" s="101" customFormat="1" ht="13.5" customHeight="1" thickBot="1" x14ac:dyDescent="0.25">
      <c r="C8" s="183" t="s">
        <v>110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5"/>
    </row>
    <row r="9" spans="2:19" s="101" customFormat="1" ht="79.5" thickBot="1" x14ac:dyDescent="0.25">
      <c r="B9" s="107" t="s">
        <v>111</v>
      </c>
      <c r="C9" s="108" t="s">
        <v>112</v>
      </c>
      <c r="D9" s="109" t="s">
        <v>113</v>
      </c>
      <c r="E9" s="108" t="s">
        <v>114</v>
      </c>
      <c r="F9" s="108" t="s">
        <v>115</v>
      </c>
      <c r="G9" s="108" t="s">
        <v>116</v>
      </c>
      <c r="H9" s="109" t="s">
        <v>155</v>
      </c>
      <c r="I9" s="109" t="s">
        <v>117</v>
      </c>
      <c r="J9" s="109" t="s">
        <v>118</v>
      </c>
      <c r="K9" s="108" t="s">
        <v>119</v>
      </c>
      <c r="L9" s="108" t="s">
        <v>120</v>
      </c>
      <c r="M9" s="109" t="s">
        <v>121</v>
      </c>
      <c r="N9" s="109" t="s">
        <v>157</v>
      </c>
      <c r="O9" s="109" t="s">
        <v>122</v>
      </c>
      <c r="P9" s="108" t="s">
        <v>123</v>
      </c>
      <c r="Q9" s="108" t="s">
        <v>124</v>
      </c>
      <c r="R9" s="108" t="s">
        <v>125</v>
      </c>
      <c r="S9" s="108" t="s">
        <v>126</v>
      </c>
    </row>
    <row r="10" spans="2:19" s="101" customFormat="1" ht="12" thickBot="1" x14ac:dyDescent="0.25"/>
    <row r="11" spans="2:19" s="101" customFormat="1" ht="11.25" x14ac:dyDescent="0.2"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2"/>
      <c r="R11" s="112"/>
      <c r="S11" s="113"/>
    </row>
    <row r="12" spans="2:19" s="101" customFormat="1" ht="11.25" x14ac:dyDescent="0.2">
      <c r="B12" s="114" t="s">
        <v>127</v>
      </c>
      <c r="C12" s="115">
        <f>13136.2</f>
        <v>13136.2</v>
      </c>
      <c r="D12" s="115">
        <v>413739.9</v>
      </c>
      <c r="E12" s="115"/>
      <c r="F12" s="115">
        <v>243631.34</v>
      </c>
      <c r="G12" s="115">
        <v>8819.2000000000007</v>
      </c>
      <c r="H12" s="115"/>
      <c r="I12" s="116"/>
      <c r="J12" s="116"/>
      <c r="K12" s="116"/>
      <c r="L12" s="116"/>
      <c r="M12" s="116"/>
      <c r="N12" s="116"/>
      <c r="O12" s="116"/>
      <c r="P12" s="116"/>
      <c r="Q12" s="117"/>
      <c r="R12" s="117"/>
      <c r="S12" s="118">
        <f>SUM(C12:R12)</f>
        <v>679326.64</v>
      </c>
    </row>
    <row r="13" spans="2:19" s="101" customFormat="1" ht="11.25" x14ac:dyDescent="0.2">
      <c r="B13" s="114" t="s">
        <v>128</v>
      </c>
      <c r="C13" s="115"/>
      <c r="D13" s="115"/>
      <c r="E13" s="115"/>
      <c r="F13" s="115">
        <f>(941687.82+616083.2)</f>
        <v>1557771.02</v>
      </c>
      <c r="G13" s="115">
        <v>2290250.96</v>
      </c>
      <c r="H13" s="115"/>
      <c r="I13" s="116"/>
      <c r="J13" s="116"/>
      <c r="K13" s="116"/>
      <c r="L13" s="116"/>
      <c r="M13" s="116"/>
      <c r="N13" s="116"/>
      <c r="O13" s="116"/>
      <c r="P13" s="116"/>
      <c r="Q13" s="117"/>
      <c r="R13" s="117"/>
      <c r="S13" s="118">
        <f>SUM(C13:R13)</f>
        <v>3848021.98</v>
      </c>
    </row>
    <row r="14" spans="2:19" s="101" customFormat="1" ht="11.25" x14ac:dyDescent="0.2">
      <c r="B14" s="114" t="s">
        <v>129</v>
      </c>
      <c r="C14" s="119"/>
      <c r="D14" s="119">
        <f>920.69</f>
        <v>920.69</v>
      </c>
      <c r="E14" s="115"/>
      <c r="F14" s="115">
        <v>5518916.9299999997</v>
      </c>
      <c r="G14" s="115"/>
      <c r="H14" s="142"/>
      <c r="I14" s="119"/>
      <c r="J14" s="119"/>
      <c r="K14" s="119"/>
      <c r="L14" s="119"/>
      <c r="M14" s="119"/>
      <c r="N14" s="119"/>
      <c r="O14" s="119"/>
      <c r="P14" s="119"/>
      <c r="Q14" s="120"/>
      <c r="R14" s="120"/>
      <c r="S14" s="118">
        <f>SUM(C14:R14)</f>
        <v>5519837.6200000001</v>
      </c>
    </row>
    <row r="15" spans="2:19" s="101" customFormat="1" ht="11.25" x14ac:dyDescent="0.2">
      <c r="B15" s="114" t="s">
        <v>130</v>
      </c>
      <c r="C15" s="119"/>
      <c r="D15" s="119"/>
      <c r="E15" s="115"/>
      <c r="F15" s="115">
        <v>600000</v>
      </c>
      <c r="G15" s="115"/>
      <c r="H15" s="142"/>
      <c r="I15" s="119"/>
      <c r="J15" s="119"/>
      <c r="K15" s="119"/>
      <c r="L15" s="119"/>
      <c r="M15" s="119"/>
      <c r="N15" s="119"/>
      <c r="O15" s="119"/>
      <c r="P15" s="119"/>
      <c r="Q15" s="120"/>
      <c r="R15" s="120"/>
      <c r="S15" s="118">
        <f>SUM(C15:R15)</f>
        <v>600000</v>
      </c>
    </row>
    <row r="16" spans="2:19" s="101" customFormat="1" ht="11.25" x14ac:dyDescent="0.2">
      <c r="B16" s="114" t="s">
        <v>131</v>
      </c>
      <c r="C16" s="116"/>
      <c r="D16" s="116"/>
      <c r="E16" s="115"/>
      <c r="F16" s="115"/>
      <c r="G16" s="115"/>
      <c r="H16" s="115"/>
      <c r="I16" s="116"/>
      <c r="J16" s="116"/>
      <c r="K16" s="116"/>
      <c r="L16" s="116"/>
      <c r="M16" s="116"/>
      <c r="N16" s="116"/>
      <c r="O16" s="116"/>
      <c r="P16" s="116"/>
      <c r="Q16" s="117"/>
      <c r="R16" s="117"/>
      <c r="S16" s="118">
        <f>SUM(C16:R16)</f>
        <v>0</v>
      </c>
    </row>
    <row r="17" spans="2:21" s="101" customFormat="1" ht="11.25" x14ac:dyDescent="0.2">
      <c r="B17" s="114" t="s">
        <v>132</v>
      </c>
      <c r="C17" s="116"/>
      <c r="D17" s="116"/>
      <c r="E17" s="115"/>
      <c r="F17" s="115">
        <v>686847.03</v>
      </c>
      <c r="G17" s="115"/>
      <c r="H17" s="115"/>
      <c r="I17" s="116"/>
      <c r="J17" s="116"/>
      <c r="K17" s="116"/>
      <c r="L17" s="116"/>
      <c r="M17" s="116"/>
      <c r="N17" s="116"/>
      <c r="O17" s="116"/>
      <c r="P17" s="116"/>
      <c r="Q17" s="117"/>
      <c r="R17" s="117"/>
      <c r="S17" s="118">
        <f>SUM(C17:R17)</f>
        <v>686847.03</v>
      </c>
    </row>
    <row r="18" spans="2:21" s="101" customFormat="1" ht="11.25" x14ac:dyDescent="0.2">
      <c r="B18" s="114" t="s">
        <v>133</v>
      </c>
      <c r="C18" s="115"/>
      <c r="D18" s="116"/>
      <c r="E18" s="115"/>
      <c r="F18" s="115"/>
      <c r="G18" s="115"/>
      <c r="H18" s="115"/>
      <c r="I18" s="116"/>
      <c r="J18" s="116"/>
      <c r="K18" s="116"/>
      <c r="L18" s="116"/>
      <c r="M18" s="116"/>
      <c r="N18" s="116"/>
      <c r="O18" s="116"/>
      <c r="P18" s="116"/>
      <c r="Q18" s="117"/>
      <c r="R18" s="117"/>
      <c r="S18" s="118">
        <f>SUM(C18:R18)</f>
        <v>0</v>
      </c>
    </row>
    <row r="19" spans="2:21" s="101" customFormat="1" ht="11.25" x14ac:dyDescent="0.2">
      <c r="B19" s="114" t="s">
        <v>134</v>
      </c>
      <c r="C19" s="115"/>
      <c r="D19" s="116"/>
      <c r="E19" s="115"/>
      <c r="F19" s="116">
        <f>+(886287.78+944094.14)</f>
        <v>1830381.92</v>
      </c>
      <c r="G19" s="116">
        <f>770264.12+161008</f>
        <v>931272.12</v>
      </c>
      <c r="H19" s="119"/>
      <c r="I19" s="119"/>
      <c r="J19" s="119"/>
      <c r="K19" s="116"/>
      <c r="L19" s="116"/>
      <c r="M19" s="116"/>
      <c r="N19" s="116"/>
      <c r="O19" s="116"/>
      <c r="P19" s="116"/>
      <c r="Q19" s="117"/>
      <c r="R19" s="117"/>
      <c r="S19" s="118">
        <f>SUM(C19:R19)</f>
        <v>2761654.04</v>
      </c>
    </row>
    <row r="20" spans="2:21" s="101" customFormat="1" ht="11.25" x14ac:dyDescent="0.2">
      <c r="B20" s="114" t="s">
        <v>135</v>
      </c>
      <c r="C20" s="116"/>
      <c r="D20" s="116"/>
      <c r="E20" s="116"/>
      <c r="F20" s="116"/>
      <c r="G20" s="116"/>
      <c r="H20" s="119"/>
      <c r="I20" s="119"/>
      <c r="J20" s="119"/>
      <c r="K20" s="116"/>
      <c r="L20" s="116"/>
      <c r="M20" s="119"/>
      <c r="N20" s="119"/>
      <c r="O20" s="119"/>
      <c r="P20" s="119"/>
      <c r="Q20" s="120"/>
      <c r="R20" s="120"/>
      <c r="S20" s="118">
        <f>SUM(C20:R20)</f>
        <v>0</v>
      </c>
    </row>
    <row r="21" spans="2:21" s="101" customFormat="1" ht="11.25" x14ac:dyDescent="0.2">
      <c r="B21" s="114" t="s">
        <v>136</v>
      </c>
      <c r="C21" s="116"/>
      <c r="D21" s="116"/>
      <c r="E21" s="116"/>
      <c r="F21" s="116"/>
      <c r="G21" s="116"/>
      <c r="H21" s="119"/>
      <c r="I21" s="119"/>
      <c r="J21" s="119"/>
      <c r="K21" s="116"/>
      <c r="L21" s="116"/>
      <c r="M21" s="119"/>
      <c r="N21" s="119"/>
      <c r="O21" s="119"/>
      <c r="P21" s="119"/>
      <c r="Q21" s="120"/>
      <c r="R21" s="120"/>
      <c r="S21" s="118">
        <f>SUM(C21:R21)</f>
        <v>0</v>
      </c>
    </row>
    <row r="22" spans="2:21" s="101" customFormat="1" ht="11.25" x14ac:dyDescent="0.2">
      <c r="B22" s="114" t="s">
        <v>137</v>
      </c>
      <c r="C22" s="116">
        <v>4350</v>
      </c>
      <c r="D22" s="116"/>
      <c r="E22" s="116"/>
      <c r="F22" s="116"/>
      <c r="G22" s="116"/>
      <c r="H22" s="116"/>
      <c r="I22" s="116"/>
      <c r="J22" s="116"/>
      <c r="K22" s="115"/>
      <c r="L22" s="115"/>
      <c r="M22" s="116"/>
      <c r="N22" s="116"/>
      <c r="O22" s="116"/>
      <c r="P22" s="115"/>
      <c r="Q22" s="115"/>
      <c r="R22" s="115"/>
      <c r="S22" s="118">
        <f>SUM(C22:R22)</f>
        <v>4350</v>
      </c>
      <c r="T22" s="121"/>
      <c r="U22" s="121"/>
    </row>
    <row r="23" spans="2:21" s="101" customFormat="1" ht="11.25" x14ac:dyDescent="0.2">
      <c r="B23" s="114" t="s">
        <v>138</v>
      </c>
      <c r="C23" s="116"/>
      <c r="D23" s="116"/>
      <c r="E23" s="116"/>
      <c r="F23" s="116">
        <v>1641745.96</v>
      </c>
      <c r="G23" s="116"/>
      <c r="H23" s="116"/>
      <c r="I23" s="116"/>
      <c r="J23" s="116"/>
      <c r="K23" s="115"/>
      <c r="L23" s="115"/>
      <c r="M23" s="116"/>
      <c r="N23" s="116"/>
      <c r="O23" s="116"/>
      <c r="P23" s="115"/>
      <c r="Q23" s="115"/>
      <c r="R23" s="115"/>
      <c r="S23" s="118">
        <f>SUM(C23:R23)</f>
        <v>1641745.96</v>
      </c>
      <c r="T23" s="121"/>
      <c r="U23" s="121"/>
    </row>
    <row r="24" spans="2:21" s="101" customFormat="1" x14ac:dyDescent="0.25">
      <c r="B24" s="114" t="s">
        <v>139</v>
      </c>
      <c r="C24" s="115"/>
      <c r="D24" s="122"/>
      <c r="E24" s="116"/>
      <c r="F24" s="116">
        <v>3021128.54</v>
      </c>
      <c r="G24" s="116">
        <v>391461.45</v>
      </c>
      <c r="H24" s="119"/>
      <c r="I24" s="119"/>
      <c r="J24" s="119"/>
      <c r="K24" s="116"/>
      <c r="L24" s="116"/>
      <c r="M24" s="119"/>
      <c r="N24" s="119"/>
      <c r="O24" s="119"/>
      <c r="P24" s="119"/>
      <c r="Q24" s="120"/>
      <c r="R24" s="120"/>
      <c r="S24" s="118">
        <f>SUM(C24:R24)</f>
        <v>3412589.99</v>
      </c>
    </row>
    <row r="25" spans="2:21" s="101" customFormat="1" ht="11.25" x14ac:dyDescent="0.2">
      <c r="B25" s="114" t="s">
        <v>140</v>
      </c>
      <c r="C25" s="116"/>
      <c r="D25" s="116"/>
      <c r="E25" s="116"/>
      <c r="F25" s="116">
        <f>(124507.34+1081677.99)</f>
        <v>1206185.33</v>
      </c>
      <c r="G25" s="116">
        <v>536506.93000000005</v>
      </c>
      <c r="H25" s="119"/>
      <c r="I25" s="119"/>
      <c r="J25" s="119"/>
      <c r="K25" s="116"/>
      <c r="L25" s="116"/>
      <c r="M25" s="119"/>
      <c r="N25" s="119"/>
      <c r="O25" s="119"/>
      <c r="P25" s="119"/>
      <c r="Q25" s="120"/>
      <c r="R25" s="120"/>
      <c r="S25" s="118">
        <f>SUM(C25:R25)</f>
        <v>1742692.2600000002</v>
      </c>
    </row>
    <row r="26" spans="2:21" s="101" customFormat="1" ht="11.25" x14ac:dyDescent="0.2">
      <c r="B26" s="114" t="s">
        <v>141</v>
      </c>
      <c r="C26" s="116"/>
      <c r="D26" s="116"/>
      <c r="E26" s="116">
        <f>3423963.57</f>
        <v>3423963.57</v>
      </c>
      <c r="F26" s="116">
        <v>6908221.5099999998</v>
      </c>
      <c r="G26" s="116"/>
      <c r="H26" s="119"/>
      <c r="I26" s="119"/>
      <c r="J26" s="119"/>
      <c r="K26" s="116"/>
      <c r="L26" s="116"/>
      <c r="M26" s="119"/>
      <c r="N26" s="119"/>
      <c r="O26" s="119"/>
      <c r="P26" s="119"/>
      <c r="Q26" s="120"/>
      <c r="R26" s="120"/>
      <c r="S26" s="118">
        <f>SUM(C26:R26)</f>
        <v>10332185.08</v>
      </c>
    </row>
    <row r="27" spans="2:21" s="101" customFormat="1" ht="11.25" x14ac:dyDescent="0.2">
      <c r="B27" s="114" t="s">
        <v>142</v>
      </c>
      <c r="C27" s="116"/>
      <c r="D27" s="116"/>
      <c r="E27" s="116"/>
      <c r="F27" s="116">
        <f>(10080252.01+11041756.47)</f>
        <v>21122008.48</v>
      </c>
      <c r="G27" s="116"/>
      <c r="H27" s="119"/>
      <c r="I27" s="119"/>
      <c r="J27" s="119"/>
      <c r="K27" s="116"/>
      <c r="L27" s="116"/>
      <c r="M27" s="119"/>
      <c r="N27" s="119"/>
      <c r="O27" s="119"/>
      <c r="P27" s="119"/>
      <c r="Q27" s="120"/>
      <c r="R27" s="120"/>
      <c r="S27" s="118">
        <f>SUM(C27:R27)</f>
        <v>21122008.48</v>
      </c>
    </row>
    <row r="28" spans="2:21" s="101" customFormat="1" ht="11.25" x14ac:dyDescent="0.2">
      <c r="B28" s="114" t="s">
        <v>154</v>
      </c>
      <c r="C28" s="116"/>
      <c r="D28" s="116"/>
      <c r="E28" s="116"/>
      <c r="F28" s="116"/>
      <c r="G28" s="116">
        <v>674096.86</v>
      </c>
      <c r="H28" s="119"/>
      <c r="I28" s="119"/>
      <c r="J28" s="119"/>
      <c r="K28" s="116"/>
      <c r="L28" s="116"/>
      <c r="M28" s="119"/>
      <c r="N28" s="119"/>
      <c r="O28" s="119"/>
      <c r="P28" s="119"/>
      <c r="Q28" s="120"/>
      <c r="R28" s="120"/>
      <c r="S28" s="118">
        <f>SUM(C28:R28)</f>
        <v>674096.86</v>
      </c>
    </row>
    <row r="29" spans="2:21" s="101" customFormat="1" ht="11.25" x14ac:dyDescent="0.2">
      <c r="B29" s="114" t="s">
        <v>143</v>
      </c>
      <c r="C29" s="116"/>
      <c r="D29" s="116"/>
      <c r="E29" s="116"/>
      <c r="F29" s="116"/>
      <c r="G29" s="116"/>
      <c r="H29" s="119"/>
      <c r="I29" s="119"/>
      <c r="J29" s="119"/>
      <c r="K29" s="116"/>
      <c r="L29" s="116"/>
      <c r="M29" s="119"/>
      <c r="N29" s="119"/>
      <c r="O29" s="119"/>
      <c r="P29" s="119"/>
      <c r="Q29" s="120"/>
      <c r="R29" s="120"/>
      <c r="S29" s="118">
        <f t="shared" ref="S29" si="0">SUM(C29:R29)</f>
        <v>0</v>
      </c>
    </row>
    <row r="30" spans="2:21" s="101" customFormat="1" ht="12" thickBot="1" x14ac:dyDescent="0.25"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5"/>
      <c r="Q30" s="125"/>
      <c r="R30" s="125"/>
      <c r="S30" s="126"/>
    </row>
    <row r="31" spans="2:21" s="132" customFormat="1" ht="12" thickBot="1" x14ac:dyDescent="0.25">
      <c r="B31" s="127" t="s">
        <v>144</v>
      </c>
      <c r="C31" s="128">
        <f t="shared" ref="C31:I31" si="1">SUM(C10:C30)</f>
        <v>17486.2</v>
      </c>
      <c r="D31" s="128">
        <f t="shared" si="1"/>
        <v>414660.59</v>
      </c>
      <c r="E31" s="128">
        <f t="shared" si="1"/>
        <v>3423963.57</v>
      </c>
      <c r="F31" s="128">
        <f t="shared" si="1"/>
        <v>44336838.060000002</v>
      </c>
      <c r="G31" s="128">
        <f t="shared" si="1"/>
        <v>4832407.5200000005</v>
      </c>
      <c r="H31" s="128"/>
      <c r="I31" s="128">
        <f t="shared" si="1"/>
        <v>0</v>
      </c>
      <c r="J31" s="128"/>
      <c r="K31" s="128">
        <f>SUM(K10:K30)</f>
        <v>0</v>
      </c>
      <c r="L31" s="128">
        <f>SUM(L10:L30)</f>
        <v>0</v>
      </c>
      <c r="M31" s="128"/>
      <c r="N31" s="128"/>
      <c r="O31" s="128"/>
      <c r="P31" s="129">
        <f>SUM(P10:P30)</f>
        <v>0</v>
      </c>
      <c r="Q31" s="129">
        <f>SUM(Q10:Q30)</f>
        <v>0</v>
      </c>
      <c r="R31" s="129">
        <f>SUM(R10:R30)</f>
        <v>0</v>
      </c>
      <c r="S31" s="130">
        <f>SUM(S10:S30)</f>
        <v>53025355.939999998</v>
      </c>
      <c r="T31" s="131"/>
    </row>
    <row r="32" spans="2:21" s="101" customFormat="1" ht="11.25" x14ac:dyDescent="0.2"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18"/>
    </row>
    <row r="33" spans="2:21" s="101" customFormat="1" ht="11.25" x14ac:dyDescent="0.2">
      <c r="B33" s="114" t="s">
        <v>127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>
        <v>1497.18</v>
      </c>
      <c r="O33" s="116"/>
      <c r="P33" s="116"/>
      <c r="Q33" s="116"/>
      <c r="R33" s="116"/>
      <c r="S33" s="118">
        <f t="shared" ref="S33:S60" si="2">SUM(C33:R33)</f>
        <v>1497.18</v>
      </c>
      <c r="T33" s="121"/>
      <c r="U33" s="121"/>
    </row>
    <row r="34" spans="2:21" s="101" customFormat="1" ht="11.25" x14ac:dyDescent="0.2">
      <c r="B34" s="114" t="s">
        <v>128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>
        <v>3924887.58</v>
      </c>
      <c r="R34" s="116">
        <v>587.6</v>
      </c>
      <c r="S34" s="118">
        <f t="shared" si="2"/>
        <v>3925475.18</v>
      </c>
      <c r="T34" s="121"/>
      <c r="U34" s="121"/>
    </row>
    <row r="35" spans="2:21" s="101" customFormat="1" ht="11.25" x14ac:dyDescent="0.2">
      <c r="B35" s="114" t="s">
        <v>129</v>
      </c>
      <c r="C35" s="116"/>
      <c r="D35" s="116"/>
      <c r="E35" s="116"/>
      <c r="F35" s="116"/>
      <c r="G35" s="116"/>
      <c r="H35" s="116"/>
      <c r="I35" s="116"/>
      <c r="J35" s="115">
        <f>5518916.93-4772860.51</f>
        <v>746056.41999999993</v>
      </c>
      <c r="K35" s="115"/>
      <c r="L35" s="116"/>
      <c r="M35" s="116"/>
      <c r="N35" s="116"/>
      <c r="O35" s="116">
        <v>-9647.2900000000009</v>
      </c>
      <c r="P35" s="116"/>
      <c r="Q35" s="115"/>
      <c r="R35" s="115"/>
      <c r="S35" s="118">
        <f t="shared" si="2"/>
        <v>736409.12999999989</v>
      </c>
      <c r="T35" s="121"/>
      <c r="U35" s="121"/>
    </row>
    <row r="36" spans="2:21" s="101" customFormat="1" ht="11.25" x14ac:dyDescent="0.2">
      <c r="B36" s="114" t="s">
        <v>130</v>
      </c>
      <c r="C36" s="116"/>
      <c r="D36" s="116"/>
      <c r="E36" s="116"/>
      <c r="F36" s="116"/>
      <c r="G36" s="116"/>
      <c r="H36" s="116"/>
      <c r="I36" s="115"/>
      <c r="J36" s="115"/>
      <c r="K36" s="115"/>
      <c r="L36" s="115"/>
      <c r="M36" s="116"/>
      <c r="N36" s="116"/>
      <c r="O36" s="116"/>
      <c r="P36" s="116"/>
      <c r="Q36" s="115">
        <v>718617.76</v>
      </c>
      <c r="R36" s="115">
        <v>1650462.16</v>
      </c>
      <c r="S36" s="118">
        <f t="shared" si="2"/>
        <v>2369079.92</v>
      </c>
      <c r="T36" s="121"/>
      <c r="U36" s="121"/>
    </row>
    <row r="37" spans="2:21" s="101" customFormat="1" ht="11.25" x14ac:dyDescent="0.2">
      <c r="B37" s="114" t="s">
        <v>131</v>
      </c>
      <c r="C37" s="116"/>
      <c r="D37" s="116"/>
      <c r="E37" s="116"/>
      <c r="F37" s="116"/>
      <c r="G37" s="116"/>
      <c r="H37" s="119"/>
      <c r="I37" s="119"/>
      <c r="J37" s="119"/>
      <c r="K37" s="115"/>
      <c r="L37" s="115"/>
      <c r="M37" s="116"/>
      <c r="N37" s="116"/>
      <c r="O37" s="119"/>
      <c r="P37" s="116"/>
      <c r="Q37" s="116"/>
      <c r="R37" s="116"/>
      <c r="S37" s="118">
        <f t="shared" si="2"/>
        <v>0</v>
      </c>
      <c r="T37" s="121"/>
      <c r="U37" s="121"/>
    </row>
    <row r="38" spans="2:21" s="101" customFormat="1" ht="11.25" x14ac:dyDescent="0.2">
      <c r="B38" s="114" t="s">
        <v>132</v>
      </c>
      <c r="C38" s="116"/>
      <c r="D38" s="116"/>
      <c r="E38" s="116"/>
      <c r="F38" s="116"/>
      <c r="G38" s="116"/>
      <c r="H38" s="119"/>
      <c r="I38" s="119"/>
      <c r="J38" s="119"/>
      <c r="K38" s="115"/>
      <c r="L38" s="115"/>
      <c r="M38" s="116"/>
      <c r="N38" s="116"/>
      <c r="O38" s="119"/>
      <c r="P38" s="119"/>
      <c r="Q38" s="116">
        <v>686847.03</v>
      </c>
      <c r="R38" s="116"/>
      <c r="S38" s="118">
        <f t="shared" si="2"/>
        <v>686847.03</v>
      </c>
      <c r="T38" s="121"/>
      <c r="U38" s="121"/>
    </row>
    <row r="39" spans="2:21" s="101" customFormat="1" x14ac:dyDescent="0.25">
      <c r="B39" s="114" t="s">
        <v>133</v>
      </c>
      <c r="C39" s="122"/>
      <c r="D39" s="116"/>
      <c r="E39" s="122"/>
      <c r="F39" s="122"/>
      <c r="G39" s="122"/>
      <c r="H39" s="143"/>
      <c r="I39" s="119"/>
      <c r="J39" s="119"/>
      <c r="K39" s="119"/>
      <c r="L39" s="119"/>
      <c r="M39" s="119">
        <v>12050.94</v>
      </c>
      <c r="N39" s="119"/>
      <c r="O39" s="119"/>
      <c r="P39" s="119">
        <v>4350</v>
      </c>
      <c r="Q39" s="119"/>
      <c r="R39" s="119"/>
      <c r="S39" s="118">
        <f t="shared" si="2"/>
        <v>16400.940000000002</v>
      </c>
      <c r="T39" s="121"/>
      <c r="U39" s="121"/>
    </row>
    <row r="40" spans="2:21" s="101" customFormat="1" x14ac:dyDescent="0.25">
      <c r="B40" s="114" t="s">
        <v>134</v>
      </c>
      <c r="C40" s="122"/>
      <c r="D40" s="116"/>
      <c r="E40" s="122"/>
      <c r="F40" s="122"/>
      <c r="G40" s="122"/>
      <c r="H40" s="143"/>
      <c r="I40" s="119"/>
      <c r="J40" s="119"/>
      <c r="K40" s="119"/>
      <c r="L40" s="119"/>
      <c r="M40" s="119"/>
      <c r="N40" s="119"/>
      <c r="O40" s="119"/>
      <c r="P40" s="119"/>
      <c r="Q40" s="119">
        <v>4289567.5</v>
      </c>
      <c r="R40" s="119">
        <v>2703.44</v>
      </c>
      <c r="S40" s="118">
        <f>SUM(C40:R40)</f>
        <v>4292270.9400000004</v>
      </c>
      <c r="T40" s="121"/>
      <c r="U40" s="121"/>
    </row>
    <row r="41" spans="2:21" s="101" customFormat="1" ht="11.25" x14ac:dyDescent="0.2">
      <c r="B41" s="114" t="s">
        <v>135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>
        <v>3773.59</v>
      </c>
      <c r="N41" s="119"/>
      <c r="O41" s="116"/>
      <c r="P41" s="119"/>
      <c r="Q41" s="116"/>
      <c r="R41" s="116"/>
      <c r="S41" s="118">
        <f t="shared" ref="S41" si="3">SUM(C41:R41)</f>
        <v>3773.59</v>
      </c>
      <c r="T41" s="121"/>
      <c r="U41" s="121"/>
    </row>
    <row r="42" spans="2:21" s="101" customFormat="1" ht="11.25" x14ac:dyDescent="0.2">
      <c r="B42" s="114" t="s">
        <v>136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6"/>
      <c r="P42" s="119"/>
      <c r="Q42" s="116">
        <v>38824.57</v>
      </c>
      <c r="R42" s="116"/>
      <c r="S42" s="118">
        <f>SUM(C42:R42)</f>
        <v>38824.57</v>
      </c>
      <c r="T42" s="121"/>
      <c r="U42" s="121"/>
    </row>
    <row r="43" spans="2:21" s="101" customFormat="1" ht="11.25" x14ac:dyDescent="0.2">
      <c r="B43" s="114" t="s">
        <v>145</v>
      </c>
      <c r="C43" s="119"/>
      <c r="D43" s="119"/>
      <c r="E43" s="119"/>
      <c r="F43" s="119"/>
      <c r="G43" s="119"/>
      <c r="H43" s="119"/>
      <c r="I43" s="119"/>
      <c r="J43" s="119"/>
      <c r="K43" s="116"/>
      <c r="L43" s="116"/>
      <c r="M43" s="116"/>
      <c r="N43" s="116"/>
      <c r="O43" s="119"/>
      <c r="P43" s="119"/>
      <c r="Q43" s="119"/>
      <c r="R43" s="119"/>
      <c r="S43" s="118">
        <f t="shared" ref="S43:S45" si="4">SUM(C43:R43)</f>
        <v>0</v>
      </c>
      <c r="T43" s="121"/>
      <c r="U43" s="121"/>
    </row>
    <row r="44" spans="2:21" s="101" customFormat="1" ht="11.25" x14ac:dyDescent="0.2">
      <c r="B44" s="114" t="s">
        <v>146</v>
      </c>
      <c r="C44" s="119"/>
      <c r="D44" s="119"/>
      <c r="E44" s="119"/>
      <c r="F44" s="119"/>
      <c r="G44" s="119"/>
      <c r="H44" s="119"/>
      <c r="I44" s="119"/>
      <c r="J44" s="119"/>
      <c r="K44" s="116"/>
      <c r="L44" s="116"/>
      <c r="M44" s="116"/>
      <c r="N44" s="116"/>
      <c r="O44" s="119"/>
      <c r="P44" s="119"/>
      <c r="Q44" s="119">
        <v>44513.35</v>
      </c>
      <c r="R44" s="119"/>
      <c r="S44" s="118">
        <f t="shared" si="4"/>
        <v>44513.35</v>
      </c>
      <c r="T44" s="121"/>
      <c r="U44" s="121"/>
    </row>
    <row r="45" spans="2:21" s="101" customFormat="1" ht="11.25" x14ac:dyDescent="0.2">
      <c r="B45" s="114" t="s">
        <v>147</v>
      </c>
      <c r="C45" s="119"/>
      <c r="D45" s="119"/>
      <c r="E45" s="119"/>
      <c r="F45" s="119"/>
      <c r="G45" s="119"/>
      <c r="H45" s="119"/>
      <c r="I45" s="119"/>
      <c r="J45" s="119"/>
      <c r="K45" s="116"/>
      <c r="L45" s="116"/>
      <c r="M45" s="116"/>
      <c r="N45" s="116"/>
      <c r="O45" s="119"/>
      <c r="P45" s="119"/>
      <c r="Q45" s="119"/>
      <c r="R45" s="119"/>
      <c r="S45" s="118">
        <f t="shared" si="4"/>
        <v>0</v>
      </c>
      <c r="T45" s="121"/>
      <c r="U45" s="121"/>
    </row>
    <row r="46" spans="2:21" s="101" customFormat="1" ht="11.25" x14ac:dyDescent="0.2">
      <c r="B46" s="114" t="s">
        <v>148</v>
      </c>
      <c r="C46" s="119"/>
      <c r="D46" s="119"/>
      <c r="E46" s="119"/>
      <c r="F46" s="119"/>
      <c r="G46" s="119"/>
      <c r="H46" s="119"/>
      <c r="I46" s="119"/>
      <c r="J46" s="119"/>
      <c r="K46" s="116"/>
      <c r="L46" s="116"/>
      <c r="M46" s="116"/>
      <c r="N46" s="116"/>
      <c r="O46" s="119"/>
      <c r="P46" s="119"/>
      <c r="Q46" s="119">
        <v>408768.22</v>
      </c>
      <c r="R46" s="119"/>
      <c r="S46" s="118">
        <f t="shared" si="2"/>
        <v>408768.22</v>
      </c>
      <c r="T46" s="121"/>
      <c r="U46" s="121"/>
    </row>
    <row r="47" spans="2:21" s="101" customFormat="1" ht="11.25" x14ac:dyDescent="0.2">
      <c r="B47" s="114" t="s">
        <v>149</v>
      </c>
      <c r="C47" s="119"/>
      <c r="D47" s="119"/>
      <c r="E47" s="119"/>
      <c r="F47" s="119"/>
      <c r="G47" s="119"/>
      <c r="H47" s="119"/>
      <c r="I47" s="119"/>
      <c r="J47" s="119"/>
      <c r="K47" s="116"/>
      <c r="L47" s="116"/>
      <c r="M47" s="116"/>
      <c r="N47" s="116"/>
      <c r="O47" s="119"/>
      <c r="P47" s="119"/>
      <c r="Q47" s="119"/>
      <c r="R47" s="119"/>
      <c r="S47" s="118">
        <f t="shared" si="2"/>
        <v>0</v>
      </c>
      <c r="T47" s="121"/>
      <c r="U47" s="121"/>
    </row>
    <row r="48" spans="2:21" s="101" customFormat="1" ht="11.25" x14ac:dyDescent="0.2">
      <c r="B48" s="114" t="s">
        <v>150</v>
      </c>
      <c r="C48" s="119"/>
      <c r="D48" s="119"/>
      <c r="E48" s="119"/>
      <c r="F48" s="119"/>
      <c r="G48" s="119"/>
      <c r="H48" s="119"/>
      <c r="I48" s="119"/>
      <c r="J48" s="119"/>
      <c r="K48" s="116"/>
      <c r="L48" s="116"/>
      <c r="M48" s="116"/>
      <c r="N48" s="116"/>
      <c r="O48" s="119"/>
      <c r="P48" s="119"/>
      <c r="Q48" s="119">
        <v>63853.279999999999</v>
      </c>
      <c r="R48" s="119"/>
      <c r="S48" s="118">
        <f t="shared" si="2"/>
        <v>63853.279999999999</v>
      </c>
      <c r="T48" s="121"/>
      <c r="U48" s="121"/>
    </row>
    <row r="49" spans="2:22" s="101" customFormat="1" ht="11.25" x14ac:dyDescent="0.2">
      <c r="B49" s="114" t="s">
        <v>151</v>
      </c>
      <c r="C49" s="119"/>
      <c r="D49" s="119"/>
      <c r="E49" s="119"/>
      <c r="F49" s="119"/>
      <c r="G49" s="119"/>
      <c r="H49" s="119"/>
      <c r="I49" s="119"/>
      <c r="J49" s="119"/>
      <c r="K49" s="116"/>
      <c r="L49" s="116"/>
      <c r="M49" s="116"/>
      <c r="N49" s="116"/>
      <c r="O49" s="119"/>
      <c r="P49" s="119"/>
      <c r="Q49" s="119"/>
      <c r="R49" s="119"/>
      <c r="S49" s="118">
        <f t="shared" si="2"/>
        <v>0</v>
      </c>
      <c r="T49" s="121"/>
      <c r="U49" s="121"/>
    </row>
    <row r="50" spans="2:22" s="101" customFormat="1" ht="11.25" x14ac:dyDescent="0.2">
      <c r="B50" s="114" t="s">
        <v>152</v>
      </c>
      <c r="C50" s="119"/>
      <c r="D50" s="119"/>
      <c r="E50" s="119"/>
      <c r="F50" s="119"/>
      <c r="G50" s="119"/>
      <c r="H50" s="119"/>
      <c r="I50" s="119"/>
      <c r="J50" s="119"/>
      <c r="K50" s="116"/>
      <c r="L50" s="116"/>
      <c r="M50" s="116"/>
      <c r="N50" s="116"/>
      <c r="O50" s="119"/>
      <c r="P50" s="115"/>
      <c r="Q50" s="119">
        <v>10955.17</v>
      </c>
      <c r="R50" s="119"/>
      <c r="S50" s="118">
        <f t="shared" si="2"/>
        <v>10955.17</v>
      </c>
      <c r="T50" s="121"/>
      <c r="U50" s="121"/>
    </row>
    <row r="51" spans="2:22" s="101" customFormat="1" ht="11.25" x14ac:dyDescent="0.2">
      <c r="B51" s="114" t="s">
        <v>137</v>
      </c>
      <c r="C51" s="116"/>
      <c r="D51" s="116"/>
      <c r="E51" s="116"/>
      <c r="F51" s="116"/>
      <c r="G51" s="116"/>
      <c r="H51" s="116"/>
      <c r="I51" s="116"/>
      <c r="J51" s="116"/>
      <c r="K51" s="115"/>
      <c r="L51" s="115"/>
      <c r="M51" s="116"/>
      <c r="N51" s="116"/>
      <c r="O51" s="116"/>
      <c r="P51" s="115"/>
      <c r="Q51" s="115"/>
      <c r="R51" s="115"/>
      <c r="S51" s="118">
        <f>SUM(C51:R51)</f>
        <v>0</v>
      </c>
      <c r="T51" s="121"/>
      <c r="U51" s="121"/>
    </row>
    <row r="52" spans="2:22" s="101" customFormat="1" ht="11.25" x14ac:dyDescent="0.2">
      <c r="B52" s="114" t="s">
        <v>138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5">
        <v>1665115.18</v>
      </c>
      <c r="R52" s="115"/>
      <c r="S52" s="118">
        <f>SUM(C52:R52)</f>
        <v>1665115.18</v>
      </c>
      <c r="T52" s="121"/>
      <c r="U52" s="121"/>
    </row>
    <row r="53" spans="2:22" s="101" customFormat="1" ht="11.25" x14ac:dyDescent="0.2">
      <c r="B53" s="114" t="s">
        <v>139</v>
      </c>
      <c r="C53" s="116"/>
      <c r="D53" s="116"/>
      <c r="E53" s="116"/>
      <c r="F53" s="116"/>
      <c r="G53" s="116"/>
      <c r="H53" s="119"/>
      <c r="I53" s="116"/>
      <c r="J53" s="119">
        <f>3021128.54-2972379.1</f>
        <v>48749.439999999944</v>
      </c>
      <c r="K53" s="119"/>
      <c r="L53" s="119"/>
      <c r="M53" s="119"/>
      <c r="N53" s="119"/>
      <c r="O53" s="116">
        <v>9173.9699999999993</v>
      </c>
      <c r="P53" s="119">
        <v>920.69</v>
      </c>
      <c r="Q53" s="116"/>
      <c r="R53" s="116"/>
      <c r="S53" s="118">
        <f>SUM(C53:R53)</f>
        <v>58844.099999999948</v>
      </c>
      <c r="T53" s="121"/>
      <c r="U53" s="121"/>
    </row>
    <row r="54" spans="2:22" s="101" customFormat="1" ht="11.25" x14ac:dyDescent="0.2">
      <c r="B54" s="114" t="s">
        <v>140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9"/>
      <c r="N54" s="119"/>
      <c r="O54" s="116"/>
      <c r="P54" s="116"/>
      <c r="Q54" s="116">
        <v>1908774.43</v>
      </c>
      <c r="R54" s="116">
        <v>-91610.17</v>
      </c>
      <c r="S54" s="118">
        <f>SUM(C54:R54)</f>
        <v>1817164.26</v>
      </c>
      <c r="T54" s="121"/>
      <c r="U54" s="121"/>
    </row>
    <row r="55" spans="2:22" s="101" customFormat="1" ht="11.25" x14ac:dyDescent="0.2">
      <c r="B55" s="114" t="s">
        <v>141</v>
      </c>
      <c r="C55" s="116"/>
      <c r="D55" s="116"/>
      <c r="E55" s="116"/>
      <c r="F55" s="116"/>
      <c r="G55" s="116"/>
      <c r="H55" s="116"/>
      <c r="I55" s="116"/>
      <c r="J55" s="116">
        <f>6908221.51-2574441.06</f>
        <v>4333780.4499999993</v>
      </c>
      <c r="K55" s="116"/>
      <c r="L55" s="116"/>
      <c r="M55" s="119"/>
      <c r="N55" s="119"/>
      <c r="O55" s="116">
        <v>13949.12</v>
      </c>
      <c r="P55" s="116"/>
      <c r="Q55" s="116"/>
      <c r="R55" s="116"/>
      <c r="S55" s="118">
        <f t="shared" ref="S55:S59" si="5">SUM(C55:R55)</f>
        <v>4347729.5699999994</v>
      </c>
      <c r="T55" s="121"/>
      <c r="U55" s="121"/>
    </row>
    <row r="56" spans="2:22" s="101" customFormat="1" ht="11.25" x14ac:dyDescent="0.2">
      <c r="B56" s="114" t="s">
        <v>142</v>
      </c>
      <c r="C56" s="116"/>
      <c r="D56" s="116"/>
      <c r="E56" s="116"/>
      <c r="F56" s="116"/>
      <c r="G56" s="116"/>
      <c r="H56" s="119"/>
      <c r="I56" s="119"/>
      <c r="J56" s="119"/>
      <c r="K56" s="119"/>
      <c r="L56" s="119"/>
      <c r="M56" s="119"/>
      <c r="N56" s="119"/>
      <c r="O56" s="119"/>
      <c r="P56" s="120"/>
      <c r="Q56" s="116">
        <v>21122008.48</v>
      </c>
      <c r="R56" s="116"/>
      <c r="S56" s="118">
        <f t="shared" si="5"/>
        <v>21122008.48</v>
      </c>
      <c r="T56" s="121"/>
      <c r="U56" s="121"/>
    </row>
    <row r="57" spans="2:22" s="101" customFormat="1" ht="11.25" x14ac:dyDescent="0.2">
      <c r="B57" s="114" t="s">
        <v>153</v>
      </c>
      <c r="C57" s="116"/>
      <c r="D57" s="116"/>
      <c r="E57" s="116"/>
      <c r="F57" s="116"/>
      <c r="G57" s="116"/>
      <c r="H57" s="119"/>
      <c r="I57" s="119"/>
      <c r="J57" s="119"/>
      <c r="K57" s="119"/>
      <c r="L57" s="119"/>
      <c r="M57" s="119"/>
      <c r="N57" s="119"/>
      <c r="O57" s="119"/>
      <c r="P57" s="120">
        <v>1</v>
      </c>
      <c r="Q57" s="116"/>
      <c r="R57" s="116"/>
      <c r="S57" s="118">
        <f t="shared" si="5"/>
        <v>1</v>
      </c>
      <c r="T57" s="121"/>
      <c r="U57" s="121"/>
    </row>
    <row r="58" spans="2:22" s="101" customFormat="1" ht="11.25" x14ac:dyDescent="0.2">
      <c r="B58" s="114" t="s">
        <v>154</v>
      </c>
      <c r="C58" s="116"/>
      <c r="D58" s="116"/>
      <c r="E58" s="116"/>
      <c r="F58" s="116"/>
      <c r="G58" s="116"/>
      <c r="H58" s="119"/>
      <c r="I58" s="119"/>
      <c r="J58" s="119"/>
      <c r="K58" s="119"/>
      <c r="L58" s="119"/>
      <c r="M58" s="119"/>
      <c r="N58" s="119"/>
      <c r="O58" s="119"/>
      <c r="P58" s="119">
        <v>86.67</v>
      </c>
      <c r="Q58" s="116"/>
      <c r="R58" s="116"/>
      <c r="S58" s="118">
        <f t="shared" si="5"/>
        <v>86.67</v>
      </c>
      <c r="T58" s="121"/>
      <c r="U58" s="121"/>
    </row>
    <row r="59" spans="2:22" s="101" customFormat="1" ht="11.25" x14ac:dyDescent="0.2">
      <c r="B59" s="114" t="s">
        <v>143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>
        <f>413520.62</f>
        <v>413520.62</v>
      </c>
      <c r="M59" s="119">
        <v>0.47</v>
      </c>
      <c r="N59" s="119"/>
      <c r="O59" s="120"/>
      <c r="P59" s="119">
        <v>13135.2</v>
      </c>
      <c r="Q59" s="120"/>
      <c r="R59" s="120"/>
      <c r="S59" s="135">
        <f t="shared" si="5"/>
        <v>426656.29</v>
      </c>
      <c r="T59" s="121"/>
      <c r="U59" s="121"/>
    </row>
    <row r="60" spans="2:22" s="101" customFormat="1" ht="12" thickBot="1" x14ac:dyDescent="0.25">
      <c r="B60" s="136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20"/>
      <c r="Q60" s="120"/>
      <c r="R60" s="120"/>
      <c r="S60" s="137">
        <f t="shared" si="2"/>
        <v>0</v>
      </c>
    </row>
    <row r="61" spans="2:22" s="132" customFormat="1" ht="12" thickBot="1" x14ac:dyDescent="0.25">
      <c r="B61" s="127" t="s">
        <v>144</v>
      </c>
      <c r="C61" s="128">
        <f t="shared" ref="C61:S61" si="6">SUM(C32:C60)</f>
        <v>0</v>
      </c>
      <c r="D61" s="128">
        <f t="shared" si="6"/>
        <v>0</v>
      </c>
      <c r="E61" s="128">
        <f t="shared" si="6"/>
        <v>0</v>
      </c>
      <c r="F61" s="128">
        <f t="shared" si="6"/>
        <v>0</v>
      </c>
      <c r="G61" s="128">
        <f t="shared" si="6"/>
        <v>0</v>
      </c>
      <c r="H61" s="128"/>
      <c r="I61" s="128">
        <f t="shared" si="6"/>
        <v>0</v>
      </c>
      <c r="J61" s="128">
        <f t="shared" si="6"/>
        <v>5128586.3099999987</v>
      </c>
      <c r="K61" s="128">
        <f t="shared" si="6"/>
        <v>0</v>
      </c>
      <c r="L61" s="128">
        <f t="shared" si="6"/>
        <v>413520.62</v>
      </c>
      <c r="M61" s="128">
        <f t="shared" si="6"/>
        <v>15825</v>
      </c>
      <c r="N61" s="128">
        <f t="shared" si="6"/>
        <v>1497.18</v>
      </c>
      <c r="O61" s="128">
        <f t="shared" si="6"/>
        <v>13475.8</v>
      </c>
      <c r="P61" s="128">
        <f t="shared" si="6"/>
        <v>18493.560000000001</v>
      </c>
      <c r="Q61" s="128">
        <f t="shared" si="6"/>
        <v>34882732.549999997</v>
      </c>
      <c r="R61" s="128">
        <f t="shared" si="6"/>
        <v>1562143.03</v>
      </c>
      <c r="S61" s="130">
        <f t="shared" si="6"/>
        <v>42036274.050000004</v>
      </c>
    </row>
    <row r="62" spans="2:22" x14ac:dyDescent="0.2">
      <c r="D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</row>
    <row r="63" spans="2:22" x14ac:dyDescent="0.2">
      <c r="S63" s="138"/>
    </row>
    <row r="64" spans="2:22" x14ac:dyDescent="0.2">
      <c r="L64" s="139"/>
    </row>
    <row r="70" spans="19:19" x14ac:dyDescent="0.2">
      <c r="S70" s="138"/>
    </row>
  </sheetData>
  <mergeCells count="4">
    <mergeCell ref="B2:S2"/>
    <mergeCell ref="B4:S4"/>
    <mergeCell ref="B6:S6"/>
    <mergeCell ref="C8:S8"/>
  </mergeCells>
  <pageMargins left="0.51181102362204722" right="0.5118110236220472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AGO</vt:lpstr>
      <vt:lpstr>PTAGO</vt:lpstr>
      <vt:lpstr>AGO!Área_de_impresión</vt:lpstr>
      <vt:lpstr>AGO!Títulos_a_imprimir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2020-07-07T19:56:17Z</dcterms:created>
  <dcterms:modified xsi:type="dcterms:W3CDTF">2020-09-03T19:40:53Z</dcterms:modified>
</cp:coreProperties>
</file>